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660" windowWidth="12885" windowHeight="9165" tabRatio="711" firstSheet="3" activeTab="9"/>
  </bookViews>
  <sheets>
    <sheet name="PL2" sheetId="4" state="hidden" r:id="rId1"/>
    <sheet name="BieunayKhongin" sheetId="27" state="hidden" r:id="rId2"/>
    <sheet name="Khongin" sheetId="28" state="hidden" r:id="rId3"/>
    <sheet name="PL I - Chi tieu NQ XVIII" sheetId="73" r:id="rId4"/>
    <sheet name="PL17CCTT(khongin)" sheetId="17" state="hidden" r:id="rId5"/>
    <sheet name="Sheet3" sheetId="23" state="hidden" r:id="rId6"/>
    <sheet name="Pl14" sheetId="14" state="hidden" r:id="rId7"/>
    <sheet name="Sheet1" sheetId="20" state="hidden" r:id="rId8"/>
    <sheet name="Sheet2" sheetId="21" state="hidden" r:id="rId9"/>
    <sheet name="PL II - Bieu TH 2015-2030" sheetId="76" r:id="rId10"/>
  </sheets>
  <externalReferences>
    <externalReference r:id="rId11"/>
    <externalReference r:id="rId12"/>
    <externalReference r:id="rId13"/>
  </externalReferences>
  <definedNames>
    <definedName name="______a1" localSheetId="9" hidden="1">{"'Sheet1'!$L$16"}</definedName>
    <definedName name="______a1" hidden="1">{"'Sheet1'!$L$16"}</definedName>
    <definedName name="______B1" localSheetId="9" hidden="1">{"'Sheet1'!$L$16"}</definedName>
    <definedName name="______B1" hidden="1">{"'Sheet1'!$L$16"}</definedName>
    <definedName name="______ban2" localSheetId="9" hidden="1">{"'Sheet1'!$L$16"}</definedName>
    <definedName name="______ban2" hidden="1">{"'Sheet1'!$L$16"}</definedName>
    <definedName name="______h1" localSheetId="9" hidden="1">{"'Sheet1'!$L$16"}</definedName>
    <definedName name="______h1" hidden="1">{"'Sheet1'!$L$16"}</definedName>
    <definedName name="______hu1" localSheetId="9" hidden="1">{"'Sheet1'!$L$16"}</definedName>
    <definedName name="______hu1" hidden="1">{"'Sheet1'!$L$16"}</definedName>
    <definedName name="______hu2" localSheetId="9" hidden="1">{"'Sheet1'!$L$16"}</definedName>
    <definedName name="______hu2" hidden="1">{"'Sheet1'!$L$16"}</definedName>
    <definedName name="______hu5" localSheetId="9" hidden="1">{"'Sheet1'!$L$16"}</definedName>
    <definedName name="______hu5" hidden="1">{"'Sheet1'!$L$16"}</definedName>
    <definedName name="______hu6" localSheetId="9" hidden="1">{"'Sheet1'!$L$16"}</definedName>
    <definedName name="______hu6" hidden="1">{"'Sheet1'!$L$16"}</definedName>
    <definedName name="______M36" localSheetId="9" hidden="1">{"'Sheet1'!$L$16"}</definedName>
    <definedName name="______M36" hidden="1">{"'Sheet1'!$L$16"}</definedName>
    <definedName name="______PA3" localSheetId="9" hidden="1">{"'Sheet1'!$L$16"}</definedName>
    <definedName name="______PA3" hidden="1">{"'Sheet1'!$L$16"}</definedName>
    <definedName name="______Pl2" localSheetId="9" hidden="1">{"'Sheet1'!$L$16"}</definedName>
    <definedName name="______Pl2" hidden="1">{"'Sheet1'!$L$16"}</definedName>
    <definedName name="______Tru21" localSheetId="9" hidden="1">{"'Sheet1'!$L$16"}</definedName>
    <definedName name="______Tru21" hidden="1">{"'Sheet1'!$L$16"}</definedName>
    <definedName name="_____NSO2" localSheetId="9" hidden="1">{"'Sheet1'!$L$16"}</definedName>
    <definedName name="_____NSO2" hidden="1">{"'Sheet1'!$L$16"}</definedName>
    <definedName name="____a1" localSheetId="9" hidden="1">{"'Sheet1'!$L$16"}</definedName>
    <definedName name="____a1" hidden="1">{"'Sheet1'!$L$16"}</definedName>
    <definedName name="____B1" localSheetId="9" hidden="1">{"'Sheet1'!$L$16"}</definedName>
    <definedName name="____B1" hidden="1">{"'Sheet1'!$L$16"}</definedName>
    <definedName name="____ban2" localSheetId="9" hidden="1">{"'Sheet1'!$L$16"}</definedName>
    <definedName name="____ban2" hidden="1">{"'Sheet1'!$L$16"}</definedName>
    <definedName name="____h1" localSheetId="9" hidden="1">{"'Sheet1'!$L$16"}</definedName>
    <definedName name="____h1" hidden="1">{"'Sheet1'!$L$16"}</definedName>
    <definedName name="____hu1" localSheetId="9" hidden="1">{"'Sheet1'!$L$16"}</definedName>
    <definedName name="____hu1" hidden="1">{"'Sheet1'!$L$16"}</definedName>
    <definedName name="____hu2" localSheetId="9" hidden="1">{"'Sheet1'!$L$16"}</definedName>
    <definedName name="____hu2" hidden="1">{"'Sheet1'!$L$16"}</definedName>
    <definedName name="____hu5" localSheetId="9" hidden="1">{"'Sheet1'!$L$16"}</definedName>
    <definedName name="____hu5" hidden="1">{"'Sheet1'!$L$16"}</definedName>
    <definedName name="____hu6" localSheetId="9" hidden="1">{"'Sheet1'!$L$16"}</definedName>
    <definedName name="____hu6" hidden="1">{"'Sheet1'!$L$16"}</definedName>
    <definedName name="____M36" localSheetId="9" hidden="1">{"'Sheet1'!$L$16"}</definedName>
    <definedName name="____M36" hidden="1">{"'Sheet1'!$L$16"}</definedName>
    <definedName name="____PA3" localSheetId="9" hidden="1">{"'Sheet1'!$L$16"}</definedName>
    <definedName name="____PA3" hidden="1">{"'Sheet1'!$L$16"}</definedName>
    <definedName name="____Pl2" localSheetId="9" hidden="1">{"'Sheet1'!$L$16"}</definedName>
    <definedName name="____Pl2" hidden="1">{"'Sheet1'!$L$16"}</definedName>
    <definedName name="____Tru21" localSheetId="9" hidden="1">{"'Sheet1'!$L$16"}</definedName>
    <definedName name="____Tru21" hidden="1">{"'Sheet1'!$L$16"}</definedName>
    <definedName name="___a1" localSheetId="9" hidden="1">{"'Sheet1'!$L$16"}</definedName>
    <definedName name="___a1" hidden="1">{"'Sheet1'!$L$16"}</definedName>
    <definedName name="___B1" localSheetId="9" hidden="1">{"'Sheet1'!$L$16"}</definedName>
    <definedName name="___B1" hidden="1">{"'Sheet1'!$L$16"}</definedName>
    <definedName name="___ban2" localSheetId="9" hidden="1">{"'Sheet1'!$L$16"}</definedName>
    <definedName name="___ban2" hidden="1">{"'Sheet1'!$L$16"}</definedName>
    <definedName name="___h1" localSheetId="9" hidden="1">{"'Sheet1'!$L$16"}</definedName>
    <definedName name="___h1" hidden="1">{"'Sheet1'!$L$16"}</definedName>
    <definedName name="___hu1" localSheetId="9" hidden="1">{"'Sheet1'!$L$16"}</definedName>
    <definedName name="___hu1" hidden="1">{"'Sheet1'!$L$16"}</definedName>
    <definedName name="___hu2" localSheetId="9" hidden="1">{"'Sheet1'!$L$16"}</definedName>
    <definedName name="___hu2" hidden="1">{"'Sheet1'!$L$16"}</definedName>
    <definedName name="___hu5" localSheetId="9" hidden="1">{"'Sheet1'!$L$16"}</definedName>
    <definedName name="___hu5" hidden="1">{"'Sheet1'!$L$16"}</definedName>
    <definedName name="___hu6" localSheetId="9" hidden="1">{"'Sheet1'!$L$16"}</definedName>
    <definedName name="___hu6" hidden="1">{"'Sheet1'!$L$16"}</definedName>
    <definedName name="___M36" localSheetId="9" hidden="1">{"'Sheet1'!$L$16"}</definedName>
    <definedName name="___M36" hidden="1">{"'Sheet1'!$L$16"}</definedName>
    <definedName name="___NSO2" localSheetId="9" hidden="1">{"'Sheet1'!$L$16"}</definedName>
    <definedName name="___NSO2" hidden="1">{"'Sheet1'!$L$16"}</definedName>
    <definedName name="___PA3" localSheetId="9" hidden="1">{"'Sheet1'!$L$16"}</definedName>
    <definedName name="___PA3" hidden="1">{"'Sheet1'!$L$16"}</definedName>
    <definedName name="___Pl2" localSheetId="9" hidden="1">{"'Sheet1'!$L$16"}</definedName>
    <definedName name="___Pl2" hidden="1">{"'Sheet1'!$L$16"}</definedName>
    <definedName name="___Tru21" localSheetId="9" hidden="1">{"'Sheet1'!$L$16"}</definedName>
    <definedName name="___Tru21" hidden="1">{"'Sheet1'!$L$16"}</definedName>
    <definedName name="__a1" localSheetId="9" hidden="1">{"'Sheet1'!$L$16"}</definedName>
    <definedName name="__a1" hidden="1">{"'Sheet1'!$L$16"}</definedName>
    <definedName name="__B1" localSheetId="9" hidden="1">{"'Sheet1'!$L$16"}</definedName>
    <definedName name="__B1" hidden="1">{"'Sheet1'!$L$16"}</definedName>
    <definedName name="__ban2" localSheetId="9" hidden="1">{"'Sheet1'!$L$16"}</definedName>
    <definedName name="__ban2" hidden="1">{"'Sheet1'!$L$16"}</definedName>
    <definedName name="__h1" localSheetId="9" hidden="1">{"'Sheet1'!$L$16"}</definedName>
    <definedName name="__h1" hidden="1">{"'Sheet1'!$L$16"}</definedName>
    <definedName name="__hu1" localSheetId="9" hidden="1">{"'Sheet1'!$L$16"}</definedName>
    <definedName name="__hu1" hidden="1">{"'Sheet1'!$L$16"}</definedName>
    <definedName name="__hu2" localSheetId="9" hidden="1">{"'Sheet1'!$L$16"}</definedName>
    <definedName name="__hu2" hidden="1">{"'Sheet1'!$L$16"}</definedName>
    <definedName name="__hu5" localSheetId="9" hidden="1">{"'Sheet1'!$L$16"}</definedName>
    <definedName name="__hu5" hidden="1">{"'Sheet1'!$L$16"}</definedName>
    <definedName name="__hu6" localSheetId="9" hidden="1">{"'Sheet1'!$L$16"}</definedName>
    <definedName name="__hu6" hidden="1">{"'Sheet1'!$L$16"}</definedName>
    <definedName name="__M36" localSheetId="9" hidden="1">{"'Sheet1'!$L$16"}</definedName>
    <definedName name="__M36" hidden="1">{"'Sheet1'!$L$16"}</definedName>
    <definedName name="__NSO2" localSheetId="9" hidden="1">{"'Sheet1'!$L$16"}</definedName>
    <definedName name="__NSO2" hidden="1">{"'Sheet1'!$L$16"}</definedName>
    <definedName name="__PA3" localSheetId="9" hidden="1">{"'Sheet1'!$L$16"}</definedName>
    <definedName name="__PA3" hidden="1">{"'Sheet1'!$L$16"}</definedName>
    <definedName name="__Pl2" localSheetId="9" hidden="1">{"'Sheet1'!$L$16"}</definedName>
    <definedName name="__Pl2" hidden="1">{"'Sheet1'!$L$16"}</definedName>
    <definedName name="__Tru21" localSheetId="9" hidden="1">{"'Sheet1'!$L$16"}</definedName>
    <definedName name="__Tru21" hidden="1">{"'Sheet1'!$L$16"}</definedName>
    <definedName name="_a1" localSheetId="9" hidden="1">{"'Sheet1'!$L$16"}</definedName>
    <definedName name="_a1" hidden="1">{"'Sheet1'!$L$16"}</definedName>
    <definedName name="_B1" localSheetId="9" hidden="1">{"'Sheet1'!$L$16"}</definedName>
    <definedName name="_B1" hidden="1">{"'Sheet1'!$L$16"}</definedName>
    <definedName name="_ban2" localSheetId="9" hidden="1">{"'Sheet1'!$L$16"}</definedName>
    <definedName name="_ban2" hidden="1">{"'Sheet1'!$L$16"}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9" hidden="1">#REF!</definedName>
    <definedName name="_Fill" hidden="1">#REF!</definedName>
    <definedName name="_xlnm._FilterDatabase" localSheetId="3" hidden="1">#REF!</definedName>
    <definedName name="_xlnm._FilterDatabase" localSheetId="9" hidden="1">#REF!</definedName>
    <definedName name="_xlnm._FilterDatabase" hidden="1">#REF!</definedName>
    <definedName name="_h1" localSheetId="9" hidden="1">{"'Sheet1'!$L$16"}</definedName>
    <definedName name="_h1" hidden="1">{"'Sheet1'!$L$16"}</definedName>
    <definedName name="_hu1" localSheetId="9" hidden="1">{"'Sheet1'!$L$16"}</definedName>
    <definedName name="_hu1" hidden="1">{"'Sheet1'!$L$16"}</definedName>
    <definedName name="_hu2" localSheetId="9" hidden="1">{"'Sheet1'!$L$16"}</definedName>
    <definedName name="_hu2" hidden="1">{"'Sheet1'!$L$16"}</definedName>
    <definedName name="_hu5" localSheetId="9" hidden="1">{"'Sheet1'!$L$16"}</definedName>
    <definedName name="_hu5" hidden="1">{"'Sheet1'!$L$16"}</definedName>
    <definedName name="_hu6" localSheetId="9" hidden="1">{"'Sheet1'!$L$16"}</definedName>
    <definedName name="_hu6" hidden="1">{"'Sheet1'!$L$16"}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9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9" hidden="1">#REF!</definedName>
    <definedName name="_Key2" hidden="1">#REF!</definedName>
    <definedName name="_M36" localSheetId="9" hidden="1">{"'Sheet1'!$L$16"}</definedName>
    <definedName name="_M36" hidden="1">{"'Sheet1'!$L$16"}</definedName>
    <definedName name="_NSO2" localSheetId="9" hidden="1">{"'Sheet1'!$L$16"}</definedName>
    <definedName name="_NSO2" hidden="1">{"'Sheet1'!$L$16"}</definedName>
    <definedName name="_Order1" hidden="1">255</definedName>
    <definedName name="_Order2" hidden="1">255</definedName>
    <definedName name="_PA3" localSheetId="9" hidden="1">{"'Sheet1'!$L$16"}</definedName>
    <definedName name="_PA3" hidden="1">{"'Sheet1'!$L$16"}</definedName>
    <definedName name="_Pl2" localSheetId="9" hidden="1">{"'Sheet1'!$L$16"}</definedName>
    <definedName name="_Pl2" hidden="1">{"'Sheet1'!$L$16"}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9" hidden="1">#REF!</definedName>
    <definedName name="_Sort" hidden="1">#REF!</definedName>
    <definedName name="_Tru21" localSheetId="9" hidden="1">{"'Sheet1'!$L$16"}</definedName>
    <definedName name="_Tru21" hidden="1">{"'Sheet1'!$L$16"}</definedName>
    <definedName name="a" localSheetId="9" hidden="1">{"'Sheet1'!$L$16"}</definedName>
    <definedName name="a" hidden="1">{"'Sheet1'!$L$16"}</definedName>
    <definedName name="anscount" hidden="1">3</definedName>
    <definedName name="ATGT" localSheetId="9" hidden="1">{"'Sheet1'!$L$16"}</definedName>
    <definedName name="ATGT" hidden="1">{"'Sheet1'!$L$16"}</definedName>
    <definedName name="chitietbgiang2" localSheetId="9" hidden="1">{"'Sheet1'!$L$16"}</definedName>
    <definedName name="chitietbgiang2" hidden="1">{"'Sheet1'!$L$16"}</definedName>
    <definedName name="CLVC3">0.1</definedName>
    <definedName name="CoCauN" localSheetId="9" hidden="1">{"'Sheet1'!$L$16"}</definedName>
    <definedName name="CoCauN" hidden="1">{"'Sheet1'!$L$16"}</definedName>
    <definedName name="CTCT1" localSheetId="9" hidden="1">{"'Sheet1'!$L$16"}</definedName>
    <definedName name="CTCT1" hidden="1">{"'Sheet1'!$L$16"}</definedName>
    <definedName name="DataFilter" localSheetId="1">[1]!DataFilter</definedName>
    <definedName name="DataFilter" localSheetId="2">[1]!DataFilter</definedName>
    <definedName name="DataFilter" localSheetId="3">[1]!DataFilter</definedName>
    <definedName name="DataFilter" localSheetId="9">[1]!DataFilter</definedName>
    <definedName name="DataFilter">[1]!DataFilter</definedName>
    <definedName name="DataSort" localSheetId="1">[1]!DataSort</definedName>
    <definedName name="DataSort" localSheetId="2">[1]!DataSort</definedName>
    <definedName name="DataSort" localSheetId="3">[1]!DataSort</definedName>
    <definedName name="DataSort" localSheetId="9">[1]!DataSort</definedName>
    <definedName name="DataSort">[1]!DataSort</definedName>
    <definedName name="dđ" localSheetId="9" hidden="1">{"'Sheet1'!$L$16"}</definedName>
    <definedName name="dđ" hidden="1">{"'Sheet1'!$L$16"}</definedName>
    <definedName name="g" localSheetId="9" hidden="1">{"'Sheet1'!$L$16"}</definedName>
    <definedName name="g" hidden="1">{"'Sheet1'!$L$16"}</definedName>
    <definedName name="gkhon" localSheetId="3" hidden="1">#REF!</definedName>
    <definedName name="gkhon" localSheetId="9" hidden="1">#REF!</definedName>
    <definedName name="gkhon" hidden="1">#REF!</definedName>
    <definedName name="GoBack" localSheetId="1">[1]Sheet1!GoBack</definedName>
    <definedName name="GoBack" localSheetId="2">[1]Sheet1!GoBack</definedName>
    <definedName name="GoBack" localSheetId="3">[1]Sheet1!GoBack</definedName>
    <definedName name="GoBack" localSheetId="9">[1]Sheet1!GoBack</definedName>
    <definedName name="GoBack">[1]Sheet1!GoBack</definedName>
    <definedName name="h" localSheetId="1" hidden="1">{"'Sheet1'!$L$16"}</definedName>
    <definedName name="h" localSheetId="2" hidden="1">{"'Sheet1'!$L$16"}</definedName>
    <definedName name="h" localSheetId="3" hidden="1">{"'Sheet1'!$L$16"}</definedName>
    <definedName name="h" localSheetId="9" hidden="1">{"'Sheet1'!$L$16"}</definedName>
    <definedName name="h" hidden="1">{"'Sheet1'!$L$16"}</definedName>
    <definedName name="Heä_soá_laép_xaø_H">1.7</definedName>
    <definedName name="HSCT3">0.1</definedName>
    <definedName name="HSDN">2.5</definedName>
    <definedName name="htlm" localSheetId="9" hidden="1">{"'Sheet1'!$L$16"}</definedName>
    <definedName name="htlm" hidden="1">{"'Sheet1'!$L$16"}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3" hidden="1">{"'Sheet1'!$L$16"}</definedName>
    <definedName name="HTML_Control" localSheetId="9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" localSheetId="9" hidden="1">{"'Sheet1'!$L$16"}</definedName>
    <definedName name="hu" hidden="1">{"'Sheet1'!$L$16"}</definedName>
    <definedName name="HUU" localSheetId="9" hidden="1">{"'Sheet1'!$L$16"}</definedName>
    <definedName name="HUU" hidden="1">{"'Sheet1'!$L$16"}</definedName>
    <definedName name="huy" localSheetId="1" hidden="1">{"'Sheet1'!$L$16"}</definedName>
    <definedName name="huy" localSheetId="2" hidden="1">{"'Sheet1'!$L$16"}</definedName>
    <definedName name="huy" localSheetId="3" hidden="1">{"'Sheet1'!$L$16"}</definedName>
    <definedName name="huy" localSheetId="9" hidden="1">{"'Sheet1'!$L$16"}</definedName>
    <definedName name="huy" hidden="1">{"'Sheet1'!$L$16"}</definedName>
    <definedName name="j" localSheetId="9" hidden="1">{"'Sheet1'!$L$16"}</definedName>
    <definedName name="j" hidden="1">{"'Sheet1'!$L$16"}</definedName>
    <definedName name="k" localSheetId="9" hidden="1">{"'Sheet1'!$L$16"}</definedName>
    <definedName name="k" hidden="1">{"'Sheet1'!$L$16"}</definedName>
    <definedName name="khongtruotgia" localSheetId="9" hidden="1">{"'Sheet1'!$L$16"}</definedName>
    <definedName name="khongtruotgia" hidden="1">{"'Sheet1'!$L$16"}</definedName>
    <definedName name="ksbn" localSheetId="9" hidden="1">{"'Sheet1'!$L$16"}</definedName>
    <definedName name="ksbn" hidden="1">{"'Sheet1'!$L$16"}</definedName>
    <definedName name="kshn" localSheetId="9" hidden="1">{"'Sheet1'!$L$16"}</definedName>
    <definedName name="kshn" hidden="1">{"'Sheet1'!$L$16"}</definedName>
    <definedName name="ksls" localSheetId="9" hidden="1">{"'Sheet1'!$L$16"}</definedName>
    <definedName name="ksls" hidden="1">{"'Sheet1'!$L$16"}</definedName>
    <definedName name="l" localSheetId="9" hidden="1">{"'Sheet1'!$L$16"}</definedName>
    <definedName name="l" hidden="1">{"'Sheet1'!$L$16"}</definedName>
    <definedName name="langson" localSheetId="9" hidden="1">{"'Sheet1'!$L$16"}</definedName>
    <definedName name="langson" hidden="1">{"'Sheet1'!$L$16"}</definedName>
    <definedName name="m" localSheetId="9" hidden="1">{"'Sheet1'!$L$16"}</definedName>
    <definedName name="m" hidden="1">{"'Sheet1'!$L$16"}</definedName>
    <definedName name="mo" localSheetId="9" hidden="1">{"'Sheet1'!$L$16"}</definedName>
    <definedName name="mo" hidden="1">{"'Sheet1'!$L$16"}</definedName>
    <definedName name="moi" localSheetId="9" hidden="1">{"'Sheet1'!$L$16"}</definedName>
    <definedName name="moi" hidden="1">{"'Sheet1'!$L$16"}</definedName>
    <definedName name="n" localSheetId="9" hidden="1">{"'Sheet1'!$L$16"}</definedName>
    <definedName name="n" hidden="1">{"'Sheet1'!$L$16"}</definedName>
    <definedName name="PAIII_" localSheetId="9" hidden="1">{"'Sheet1'!$L$16"}</definedName>
    <definedName name="PAIII_" hidden="1">{"'Sheet1'!$L$16"}</definedName>
    <definedName name="PMS" localSheetId="9" hidden="1">{"'Sheet1'!$L$16"}</definedName>
    <definedName name="PMS" hidden="1">{"'Sheet1'!$L$16"}</definedName>
    <definedName name="_xlnm.Print_Area" localSheetId="1">BieunayKhongin!$A$1:$O$52</definedName>
    <definedName name="_xlnm.Print_Area" localSheetId="2">Khongin!$A$1:$I$61</definedName>
    <definedName name="_xlnm.Print_Area" localSheetId="3">'PL I - Chi tieu NQ XVIII'!$A$1:$M$55</definedName>
    <definedName name="_xlnm.Print_Area" localSheetId="9">'PL II - Bieu TH 2015-2030'!$A$1:$Z$97</definedName>
    <definedName name="_xlnm.Print_Area" localSheetId="4">'PL17CCTT(khongin)'!$A$1:$V$39</definedName>
    <definedName name="_xlnm.Print_Titles" localSheetId="1">BieunayKhongin!$5:$5</definedName>
    <definedName name="_xlnm.Print_Titles" localSheetId="2">Khongin!$5:$5</definedName>
    <definedName name="_xlnm.Print_Titles" localSheetId="3">'PL I - Chi tieu NQ XVIII'!$3:$5</definedName>
    <definedName name="_xlnm.Print_Titles" localSheetId="9">'PL II - Bieu TH 2015-2030'!$4:$5</definedName>
    <definedName name="_xlnm.Print_Titles" localSheetId="6">'Pl14'!$4:$5</definedName>
    <definedName name="_xlnm.Print_Titles" localSheetId="4">'PL17CCTT(khongin)'!$5:$5</definedName>
    <definedName name="_xlnm.Print_Titles" localSheetId="0">'PL2'!$4:$5</definedName>
    <definedName name="t" localSheetId="9" hidden="1">{"'Sheet1'!$L$16"}</definedName>
    <definedName name="t" hidden="1">{"'Sheet1'!$L$16"}</definedName>
    <definedName name="TaxTV">10%</definedName>
    <definedName name="TaxXL">5%</definedName>
    <definedName name="tha" localSheetId="9" hidden="1">{"'Sheet1'!$L$16"}</definedName>
    <definedName name="tha" hidden="1">{"'Sheet1'!$L$16"}</definedName>
    <definedName name="ttttt" localSheetId="9" hidden="1">{"'Sheet1'!$L$16"}</definedName>
    <definedName name="ttttt" hidden="1">{"'Sheet1'!$L$16"}</definedName>
    <definedName name="TTTTTTTTT" localSheetId="9" hidden="1">{"'Sheet1'!$L$16"}</definedName>
    <definedName name="TTTTTTTTT" hidden="1">{"'Sheet1'!$L$16"}</definedName>
    <definedName name="ttttttttttt" localSheetId="9" hidden="1">{"'Sheet1'!$L$16"}</definedName>
    <definedName name="ttttttttttt" hidden="1">{"'Sheet1'!$L$16"}</definedName>
    <definedName name="tuyennhanh" localSheetId="9" hidden="1">{"'Sheet1'!$L$16"}</definedName>
    <definedName name="tuyennhanh" hidden="1">{"'Sheet1'!$L$16"}</definedName>
    <definedName name="u" localSheetId="9" hidden="1">{"'Sheet1'!$L$16"}</definedName>
    <definedName name="u" hidden="1">{"'Sheet1'!$L$16"}</definedName>
    <definedName name="ư" localSheetId="9" hidden="1">{"'Sheet1'!$L$16"}</definedName>
    <definedName name="ư" hidden="1">{"'Sheet1'!$L$16"}</definedName>
    <definedName name="v" localSheetId="9" hidden="1">{"'Sheet1'!$L$16"}</definedName>
    <definedName name="v" hidden="1">{"'Sheet1'!$L$16"}</definedName>
    <definedName name="vcoto" localSheetId="9" hidden="1">{"'Sheet1'!$L$16"}</definedName>
    <definedName name="vcoto" hidden="1">{"'Sheet1'!$L$16"}</definedName>
    <definedName name="Viet" localSheetId="9" hidden="1">{"'Sheet1'!$L$16"}</definedName>
    <definedName name="Viet" hidden="1">{"'Sheet1'!$L$16"}</definedName>
    <definedName name="wrn.chi._.tiÆt." localSheetId="2" hidden="1">{#N/A,#N/A,FALSE,"Chi tiÆt"}</definedName>
    <definedName name="wrn.chi._.tiÆt." localSheetId="3" hidden="1">{#N/A,#N/A,FALSE,"Chi tiÆt"}</definedName>
    <definedName name="wrn.chi._.tiÆt." localSheetId="9" hidden="1">{#N/A,#N/A,FALSE,"Chi tiÆt"}</definedName>
    <definedName name="wrn.chi._.tiÆt." hidden="1">{#N/A,#N/A,FALSE,"Chi tiÆt"}</definedName>
    <definedName name="XCCT">0.5</definedName>
    <definedName name="xls" localSheetId="9" hidden="1">{"'Sheet1'!$L$16"}</definedName>
    <definedName name="xls" hidden="1">{"'Sheet1'!$L$16"}</definedName>
    <definedName name="xlttbninh" localSheetId="9" hidden="1">{"'Sheet1'!$L$16"}</definedName>
    <definedName name="xlttbninh" hidden="1">{"'Sheet1'!$L$16"}</definedName>
  </definedNames>
  <calcPr calcId="125725"/>
</workbook>
</file>

<file path=xl/calcChain.xml><?xml version="1.0" encoding="utf-8"?>
<calcChain xmlns="http://schemas.openxmlformats.org/spreadsheetml/2006/main">
  <c r="E34" i="76"/>
  <c r="F34"/>
  <c r="G34"/>
  <c r="H34"/>
  <c r="I34"/>
  <c r="J34"/>
  <c r="K34"/>
  <c r="L34"/>
  <c r="M34"/>
  <c r="N34"/>
  <c r="O34"/>
  <c r="P34"/>
  <c r="Q34"/>
  <c r="R34"/>
  <c r="S34"/>
  <c r="T34"/>
  <c r="U34"/>
  <c r="V34"/>
  <c r="D34"/>
  <c r="B99" l="1"/>
  <c r="Q53"/>
  <c r="P53"/>
  <c r="O53"/>
  <c r="N53"/>
  <c r="M53"/>
  <c r="L53"/>
  <c r="J53"/>
  <c r="Q52"/>
  <c r="P52"/>
  <c r="O52"/>
  <c r="N52"/>
  <c r="M52"/>
  <c r="L52"/>
  <c r="J52"/>
  <c r="Q51"/>
  <c r="P51"/>
  <c r="P50" s="1"/>
  <c r="O51"/>
  <c r="N51"/>
  <c r="M51"/>
  <c r="L51"/>
  <c r="J51"/>
  <c r="V50"/>
  <c r="U50"/>
  <c r="T50"/>
  <c r="S50"/>
  <c r="R50"/>
  <c r="K50"/>
  <c r="I50"/>
  <c r="H50"/>
  <c r="G50"/>
  <c r="F50"/>
  <c r="E50"/>
  <c r="D50"/>
  <c r="J46"/>
  <c r="U42"/>
  <c r="S42"/>
  <c r="R42"/>
  <c r="V42" s="1"/>
  <c r="V40" s="1"/>
  <c r="U41"/>
  <c r="V41" s="1"/>
  <c r="T41"/>
  <c r="T40" s="1"/>
  <c r="S41"/>
  <c r="S40" s="1"/>
  <c r="R41"/>
  <c r="P41"/>
  <c r="P40" s="1"/>
  <c r="O41"/>
  <c r="O40" s="1"/>
  <c r="N41"/>
  <c r="M41"/>
  <c r="U40"/>
  <c r="R40"/>
  <c r="Q40"/>
  <c r="N40"/>
  <c r="M40"/>
  <c r="L40"/>
  <c r="K40"/>
  <c r="J40"/>
  <c r="I40"/>
  <c r="H40"/>
  <c r="G40"/>
  <c r="F40"/>
  <c r="E40"/>
  <c r="D40"/>
  <c r="K29"/>
  <c r="J29"/>
  <c r="I29"/>
  <c r="H29"/>
  <c r="G29"/>
  <c r="F29"/>
  <c r="E29"/>
  <c r="D29"/>
  <c r="Q28"/>
  <c r="P28"/>
  <c r="O28"/>
  <c r="N28"/>
  <c r="M28"/>
  <c r="L28"/>
  <c r="W28" s="1"/>
  <c r="Q27"/>
  <c r="P27"/>
  <c r="O27"/>
  <c r="N27"/>
  <c r="V25"/>
  <c r="U25"/>
  <c r="T25"/>
  <c r="S25"/>
  <c r="R25"/>
  <c r="Q25"/>
  <c r="P25"/>
  <c r="O25"/>
  <c r="N25"/>
  <c r="M25"/>
  <c r="L25"/>
  <c r="W25" s="1"/>
  <c r="L24"/>
  <c r="W24" s="1"/>
  <c r="S23"/>
  <c r="Q23"/>
  <c r="P23"/>
  <c r="O23"/>
  <c r="N23"/>
  <c r="H21"/>
  <c r="K14"/>
  <c r="J14"/>
  <c r="I14"/>
  <c r="I21" s="1"/>
  <c r="H14"/>
  <c r="G14"/>
  <c r="F14"/>
  <c r="E14"/>
  <c r="E21" s="1"/>
  <c r="D14"/>
  <c r="R13"/>
  <c r="R28" s="1"/>
  <c r="R12"/>
  <c r="R27" s="1"/>
  <c r="L12"/>
  <c r="L11"/>
  <c r="L9"/>
  <c r="U8"/>
  <c r="R8"/>
  <c r="S8" s="1"/>
  <c r="T8" s="1"/>
  <c r="L8"/>
  <c r="L7"/>
  <c r="K7"/>
  <c r="J7"/>
  <c r="I7"/>
  <c r="H7"/>
  <c r="G7"/>
  <c r="F7"/>
  <c r="E7"/>
  <c r="D7"/>
  <c r="D21" s="1"/>
  <c r="Y25" l="1"/>
  <c r="X28"/>
  <c r="M50"/>
  <c r="Q50"/>
  <c r="Y50" s="1"/>
  <c r="O50"/>
  <c r="L50"/>
  <c r="W50" s="1"/>
  <c r="U23"/>
  <c r="V8"/>
  <c r="F21"/>
  <c r="J21"/>
  <c r="L21" s="1"/>
  <c r="X50"/>
  <c r="L22"/>
  <c r="W22" s="1"/>
  <c r="M23"/>
  <c r="L23"/>
  <c r="W23" s="1"/>
  <c r="L26"/>
  <c r="W26" s="1"/>
  <c r="L18"/>
  <c r="M11"/>
  <c r="M27"/>
  <c r="L27"/>
  <c r="W27" s="1"/>
  <c r="L19"/>
  <c r="Z25"/>
  <c r="X25"/>
  <c r="T23"/>
  <c r="S12"/>
  <c r="R23"/>
  <c r="N50"/>
  <c r="J50"/>
  <c r="G21"/>
  <c r="K21"/>
  <c r="S13"/>
  <c r="M21" i="73"/>
  <c r="N11" i="76" l="1"/>
  <c r="M9"/>
  <c r="M18"/>
  <c r="M26"/>
  <c r="X23"/>
  <c r="Z23"/>
  <c r="M21"/>
  <c r="L17"/>
  <c r="L20"/>
  <c r="S28"/>
  <c r="T13"/>
  <c r="X27"/>
  <c r="L15"/>
  <c r="T12"/>
  <c r="S27"/>
  <c r="V23"/>
  <c r="Y23" s="1"/>
  <c r="L25" i="73"/>
  <c r="J21"/>
  <c r="D21"/>
  <c r="I25"/>
  <c r="F7" i="4"/>
  <c r="J10" i="17"/>
  <c r="J9" s="1"/>
  <c r="J26"/>
  <c r="J24" s="1"/>
  <c r="K8"/>
  <c r="K10"/>
  <c r="K9" s="1"/>
  <c r="K7" s="1"/>
  <c r="K26"/>
  <c r="K24" s="1"/>
  <c r="N8"/>
  <c r="N26"/>
  <c r="N24" s="1"/>
  <c r="Q10"/>
  <c r="Q9" s="1"/>
  <c r="Q26"/>
  <c r="Q24" s="1"/>
  <c r="T10"/>
  <c r="T9" s="1"/>
  <c r="T7" s="1"/>
  <c r="T22" s="1"/>
  <c r="T39" s="1"/>
  <c r="T26"/>
  <c r="T24" s="1"/>
  <c r="B37"/>
  <c r="B27"/>
  <c r="B28"/>
  <c r="B29"/>
  <c r="B30"/>
  <c r="B31"/>
  <c r="B32"/>
  <c r="B33"/>
  <c r="B34"/>
  <c r="B35"/>
  <c r="B13"/>
  <c r="B14"/>
  <c r="B15"/>
  <c r="B16"/>
  <c r="B17"/>
  <c r="B18"/>
  <c r="B12"/>
  <c r="T42"/>
  <c r="V8" s="1"/>
  <c r="V13"/>
  <c r="V14"/>
  <c r="V16"/>
  <c r="V17"/>
  <c r="V19"/>
  <c r="V20"/>
  <c r="T60"/>
  <c r="V26" s="1"/>
  <c r="V28"/>
  <c r="V29"/>
  <c r="V31"/>
  <c r="V32"/>
  <c r="V33"/>
  <c r="V34"/>
  <c r="Q42"/>
  <c r="S8" s="1"/>
  <c r="I6" i="21"/>
  <c r="S13" i="17"/>
  <c r="S14"/>
  <c r="S16"/>
  <c r="S17"/>
  <c r="S19"/>
  <c r="S20"/>
  <c r="Q60"/>
  <c r="S26" s="1"/>
  <c r="S28"/>
  <c r="S29"/>
  <c r="S31"/>
  <c r="S32"/>
  <c r="S33"/>
  <c r="S34"/>
  <c r="P13"/>
  <c r="P14"/>
  <c r="P16"/>
  <c r="P17"/>
  <c r="P19"/>
  <c r="P20"/>
  <c r="N60"/>
  <c r="P28"/>
  <c r="P29"/>
  <c r="P31"/>
  <c r="P32"/>
  <c r="P33"/>
  <c r="P34"/>
  <c r="K44"/>
  <c r="K43" s="1"/>
  <c r="M13"/>
  <c r="M14"/>
  <c r="M16"/>
  <c r="M17"/>
  <c r="M19"/>
  <c r="B19"/>
  <c r="M20"/>
  <c r="B20"/>
  <c r="K60"/>
  <c r="K58"/>
  <c r="M24" s="1"/>
  <c r="M28"/>
  <c r="M29"/>
  <c r="M31"/>
  <c r="M32"/>
  <c r="M33"/>
  <c r="M34"/>
  <c r="B46"/>
  <c r="B47"/>
  <c r="D13" s="1"/>
  <c r="B48"/>
  <c r="D14" s="1"/>
  <c r="B49"/>
  <c r="B50"/>
  <c r="D16" s="1"/>
  <c r="B51"/>
  <c r="D17" s="1"/>
  <c r="B52"/>
  <c r="B53"/>
  <c r="D19" s="1"/>
  <c r="B54"/>
  <c r="D20" s="1"/>
  <c r="J60"/>
  <c r="B60" s="1"/>
  <c r="D26" s="1"/>
  <c r="B61"/>
  <c r="B62"/>
  <c r="D28"/>
  <c r="B63"/>
  <c r="D29"/>
  <c r="B64"/>
  <c r="B65"/>
  <c r="D31" s="1"/>
  <c r="B66"/>
  <c r="D32" s="1"/>
  <c r="B67"/>
  <c r="D33" s="1"/>
  <c r="B68"/>
  <c r="D34" s="1"/>
  <c r="B69"/>
  <c r="B71"/>
  <c r="H63" i="28"/>
  <c r="H37" s="1"/>
  <c r="G63"/>
  <c r="G55" s="1"/>
  <c r="F63"/>
  <c r="D63"/>
  <c r="D53"/>
  <c r="E63"/>
  <c r="E27"/>
  <c r="O54" i="27"/>
  <c r="O13"/>
  <c r="N54"/>
  <c r="N21"/>
  <c r="M54"/>
  <c r="M44"/>
  <c r="L54"/>
  <c r="L21"/>
  <c r="J17" i="4"/>
  <c r="F12"/>
  <c r="D12"/>
  <c r="I15" i="17"/>
  <c r="H15"/>
  <c r="F15"/>
  <c r="F12"/>
  <c r="I7"/>
  <c r="H7"/>
  <c r="F7"/>
  <c r="D16" i="4"/>
  <c r="D14"/>
  <c r="K54" i="27"/>
  <c r="K8"/>
  <c r="I6" i="28"/>
  <c r="I7"/>
  <c r="D8"/>
  <c r="E8"/>
  <c r="F8"/>
  <c r="G8"/>
  <c r="H8"/>
  <c r="I8"/>
  <c r="D9"/>
  <c r="E9"/>
  <c r="F9"/>
  <c r="G9"/>
  <c r="H9"/>
  <c r="I9"/>
  <c r="D10"/>
  <c r="E10"/>
  <c r="F10"/>
  <c r="G10"/>
  <c r="H10"/>
  <c r="I10"/>
  <c r="F11"/>
  <c r="G12"/>
  <c r="H12"/>
  <c r="I12"/>
  <c r="D13"/>
  <c r="E13"/>
  <c r="G13"/>
  <c r="H13"/>
  <c r="I13"/>
  <c r="E14"/>
  <c r="E15"/>
  <c r="F15"/>
  <c r="G15"/>
  <c r="H15"/>
  <c r="I15"/>
  <c r="I16"/>
  <c r="C17"/>
  <c r="I17"/>
  <c r="I24"/>
  <c r="I23" s="1"/>
  <c r="D20"/>
  <c r="E20"/>
  <c r="F20"/>
  <c r="G20"/>
  <c r="H20"/>
  <c r="A25"/>
  <c r="A27"/>
  <c r="A29" s="1"/>
  <c r="A31" s="1"/>
  <c r="A35" s="1"/>
  <c r="A37" s="1"/>
  <c r="A39" s="1"/>
  <c r="A41" s="1"/>
  <c r="A43" s="1"/>
  <c r="A45" s="1"/>
  <c r="I26"/>
  <c r="I28"/>
  <c r="I27" s="1"/>
  <c r="I30"/>
  <c r="I29" s="1"/>
  <c r="I32"/>
  <c r="I36"/>
  <c r="I35" s="1"/>
  <c r="I38"/>
  <c r="I40"/>
  <c r="I39" s="1"/>
  <c r="I42"/>
  <c r="L43"/>
  <c r="L45"/>
  <c r="I44"/>
  <c r="I43" s="1"/>
  <c r="I46"/>
  <c r="L47"/>
  <c r="M49" s="1"/>
  <c r="I48"/>
  <c r="I47" s="1"/>
  <c r="L48"/>
  <c r="M48" s="1"/>
  <c r="L49"/>
  <c r="I50"/>
  <c r="I49" s="1"/>
  <c r="A51"/>
  <c r="I52"/>
  <c r="I54"/>
  <c r="I53" s="1"/>
  <c r="M53"/>
  <c r="M55"/>
  <c r="I56"/>
  <c r="I55" s="1"/>
  <c r="C57"/>
  <c r="D57"/>
  <c r="E57"/>
  <c r="F57"/>
  <c r="G57"/>
  <c r="H57"/>
  <c r="I57"/>
  <c r="L57"/>
  <c r="I59"/>
  <c r="E60"/>
  <c r="R38" i="27"/>
  <c r="O11"/>
  <c r="N11"/>
  <c r="M11"/>
  <c r="L11"/>
  <c r="K11"/>
  <c r="I8"/>
  <c r="H8"/>
  <c r="G8"/>
  <c r="F8"/>
  <c r="E8"/>
  <c r="D8"/>
  <c r="F26" i="4"/>
  <c r="E19" i="23"/>
  <c r="E32" s="1"/>
  <c r="H26" i="4"/>
  <c r="J26"/>
  <c r="G16"/>
  <c r="G18"/>
  <c r="C17" i="21"/>
  <c r="C7" s="1"/>
  <c r="C4" s="1"/>
  <c r="D17"/>
  <c r="E17"/>
  <c r="F17"/>
  <c r="G17"/>
  <c r="H17"/>
  <c r="I17"/>
  <c r="J17"/>
  <c r="K17"/>
  <c r="L17"/>
  <c r="C7" i="20"/>
  <c r="E13" i="14"/>
  <c r="E7"/>
  <c r="E15"/>
  <c r="E22"/>
  <c r="E30" s="1"/>
  <c r="B17" i="23"/>
  <c r="B21"/>
  <c r="B25" s="1"/>
  <c r="B18"/>
  <c r="B30"/>
  <c r="C17"/>
  <c r="C28" s="1"/>
  <c r="C18"/>
  <c r="C29" s="1"/>
  <c r="D17"/>
  <c r="D18"/>
  <c r="D29" s="1"/>
  <c r="E18"/>
  <c r="E30" s="1"/>
  <c r="F41" i="17"/>
  <c r="H41"/>
  <c r="I41"/>
  <c r="F46"/>
  <c r="F49"/>
  <c r="H49"/>
  <c r="I49"/>
  <c r="E7" i="4"/>
  <c r="G7"/>
  <c r="H7"/>
  <c r="I7"/>
  <c r="J7"/>
  <c r="E9"/>
  <c r="I9"/>
  <c r="E10"/>
  <c r="F10"/>
  <c r="G10"/>
  <c r="H10"/>
  <c r="I10"/>
  <c r="J10"/>
  <c r="E11"/>
  <c r="F11"/>
  <c r="G11"/>
  <c r="H11"/>
  <c r="I11"/>
  <c r="J11"/>
  <c r="E12"/>
  <c r="G12"/>
  <c r="H12"/>
  <c r="I12"/>
  <c r="J12"/>
  <c r="E14"/>
  <c r="F14"/>
  <c r="G14"/>
  <c r="H14"/>
  <c r="I14"/>
  <c r="J14"/>
  <c r="D15"/>
  <c r="E15"/>
  <c r="F15"/>
  <c r="G15"/>
  <c r="H15"/>
  <c r="I15"/>
  <c r="J15"/>
  <c r="E16"/>
  <c r="F16"/>
  <c r="H16"/>
  <c r="I16"/>
  <c r="J16"/>
  <c r="E17"/>
  <c r="I17"/>
  <c r="D18"/>
  <c r="E18"/>
  <c r="I18"/>
  <c r="I19"/>
  <c r="E21"/>
  <c r="F21"/>
  <c r="G21"/>
  <c r="H21"/>
  <c r="I21"/>
  <c r="J21"/>
  <c r="I22"/>
  <c r="I23"/>
  <c r="E25"/>
  <c r="I25"/>
  <c r="E26"/>
  <c r="G26"/>
  <c r="I26"/>
  <c r="D27"/>
  <c r="E27"/>
  <c r="F27"/>
  <c r="G27"/>
  <c r="H27"/>
  <c r="I27"/>
  <c r="J27"/>
  <c r="D28"/>
  <c r="E28"/>
  <c r="F28"/>
  <c r="G28"/>
  <c r="H28"/>
  <c r="I28"/>
  <c r="J28"/>
  <c r="I29"/>
  <c r="I31"/>
  <c r="D32"/>
  <c r="E32"/>
  <c r="F32"/>
  <c r="G32"/>
  <c r="H32"/>
  <c r="I32"/>
  <c r="J32"/>
  <c r="D33"/>
  <c r="E33"/>
  <c r="F33"/>
  <c r="G33"/>
  <c r="H33"/>
  <c r="I33"/>
  <c r="J33"/>
  <c r="D34"/>
  <c r="E34"/>
  <c r="F34"/>
  <c r="G34"/>
  <c r="H34"/>
  <c r="I34"/>
  <c r="J34"/>
  <c r="D35"/>
  <c r="E35"/>
  <c r="F35"/>
  <c r="G35"/>
  <c r="H35"/>
  <c r="I35"/>
  <c r="J35"/>
  <c r="D36"/>
  <c r="E36"/>
  <c r="F36"/>
  <c r="G36"/>
  <c r="H36"/>
  <c r="I36"/>
  <c r="J36"/>
  <c r="E37"/>
  <c r="F37"/>
  <c r="G37"/>
  <c r="H37"/>
  <c r="I37"/>
  <c r="J37"/>
  <c r="D38"/>
  <c r="E38"/>
  <c r="F38"/>
  <c r="G38"/>
  <c r="H38"/>
  <c r="I38"/>
  <c r="J38"/>
  <c r="E40"/>
  <c r="F40"/>
  <c r="G40"/>
  <c r="H40"/>
  <c r="I40"/>
  <c r="J40"/>
  <c r="E41"/>
  <c r="F41"/>
  <c r="G41"/>
  <c r="H41"/>
  <c r="I41"/>
  <c r="J41"/>
  <c r="E42"/>
  <c r="F42"/>
  <c r="G42"/>
  <c r="H42"/>
  <c r="I42"/>
  <c r="J42"/>
  <c r="F13" i="23"/>
  <c r="D40" i="4"/>
  <c r="D41"/>
  <c r="D42"/>
  <c r="G25"/>
  <c r="H25"/>
  <c r="F25"/>
  <c r="J25"/>
  <c r="D25"/>
  <c r="H18"/>
  <c r="F18"/>
  <c r="H17"/>
  <c r="E27" i="14"/>
  <c r="B19" i="23"/>
  <c r="B32" s="1"/>
  <c r="G17" i="4"/>
  <c r="D17"/>
  <c r="F9"/>
  <c r="D11"/>
  <c r="C19" i="23"/>
  <c r="C32"/>
  <c r="D10" i="4"/>
  <c r="T44" i="17"/>
  <c r="T43" s="1"/>
  <c r="K6" i="21"/>
  <c r="K7" s="1"/>
  <c r="N44" i="17"/>
  <c r="P10" s="1"/>
  <c r="G6" i="21"/>
  <c r="G17" i="23"/>
  <c r="G27"/>
  <c r="E17"/>
  <c r="E21" s="1"/>
  <c r="E24" s="1"/>
  <c r="D19"/>
  <c r="D31"/>
  <c r="Q44" i="17"/>
  <c r="Q43" s="1"/>
  <c r="J8"/>
  <c r="D37" i="4"/>
  <c r="G13" i="21"/>
  <c r="Q8" i="17"/>
  <c r="B8" s="1"/>
  <c r="K13" i="21"/>
  <c r="E6"/>
  <c r="G9" i="4"/>
  <c r="C13" i="21"/>
  <c r="J42" i="17"/>
  <c r="J18" i="4"/>
  <c r="N42" i="17"/>
  <c r="H9" i="4"/>
  <c r="F17"/>
  <c r="E13" i="21"/>
  <c r="I13"/>
  <c r="K42" i="17"/>
  <c r="M8" s="1"/>
  <c r="T8"/>
  <c r="N10"/>
  <c r="N9" s="1"/>
  <c r="N7" s="1"/>
  <c r="N22" s="1"/>
  <c r="N39" s="1"/>
  <c r="G18" i="23"/>
  <c r="G30" s="1"/>
  <c r="F19"/>
  <c r="F31" s="1"/>
  <c r="F17"/>
  <c r="F21"/>
  <c r="F24" s="1"/>
  <c r="G19"/>
  <c r="G31" s="1"/>
  <c r="F18"/>
  <c r="C6" i="21"/>
  <c r="J19" i="4"/>
  <c r="J44" i="17"/>
  <c r="J43"/>
  <c r="J41" s="1"/>
  <c r="B43"/>
  <c r="D9" s="1"/>
  <c r="J9" i="4"/>
  <c r="D9"/>
  <c r="N44" i="27"/>
  <c r="L30"/>
  <c r="J30" s="1"/>
  <c r="N26"/>
  <c r="L8"/>
  <c r="G49" i="28"/>
  <c r="L38" i="27"/>
  <c r="J38" s="1"/>
  <c r="J39" s="1"/>
  <c r="K40"/>
  <c r="N34"/>
  <c r="N19"/>
  <c r="N36"/>
  <c r="N17"/>
  <c r="N8"/>
  <c r="N32"/>
  <c r="N38"/>
  <c r="K30"/>
  <c r="N30"/>
  <c r="D51" i="28"/>
  <c r="G37"/>
  <c r="G41"/>
  <c r="G25"/>
  <c r="D30" i="23"/>
  <c r="B29"/>
  <c r="E53" i="28"/>
  <c r="E35"/>
  <c r="M19" i="27"/>
  <c r="M13"/>
  <c r="D55" i="28"/>
  <c r="H43"/>
  <c r="H53"/>
  <c r="H47"/>
  <c r="H25"/>
  <c r="H55"/>
  <c r="H31"/>
  <c r="H51"/>
  <c r="H39"/>
  <c r="H27"/>
  <c r="H23"/>
  <c r="H41"/>
  <c r="H45"/>
  <c r="H49"/>
  <c r="H29"/>
  <c r="D7" i="20"/>
  <c r="E7" s="1"/>
  <c r="C5" i="21"/>
  <c r="C8" i="20"/>
  <c r="O21" i="27"/>
  <c r="O38"/>
  <c r="O17"/>
  <c r="O36"/>
  <c r="O30"/>
  <c r="G23" i="28"/>
  <c r="G39"/>
  <c r="G31"/>
  <c r="G29"/>
  <c r="G51"/>
  <c r="G43"/>
  <c r="G45"/>
  <c r="G27"/>
  <c r="T58" i="17"/>
  <c r="V24" s="1"/>
  <c r="M26"/>
  <c r="J58"/>
  <c r="B58" s="1"/>
  <c r="D24" s="1"/>
  <c r="Q58"/>
  <c r="S24" s="1"/>
  <c r="D23" i="28"/>
  <c r="M8" i="27"/>
  <c r="M15"/>
  <c r="M46"/>
  <c r="M21"/>
  <c r="D37" i="28"/>
  <c r="M30" i="27"/>
  <c r="M38"/>
  <c r="M17"/>
  <c r="M40"/>
  <c r="K38"/>
  <c r="D27" i="28"/>
  <c r="M28" i="27"/>
  <c r="M36"/>
  <c r="M34"/>
  <c r="E31" i="23"/>
  <c r="O46" i="27"/>
  <c r="O8"/>
  <c r="O44"/>
  <c r="O40"/>
  <c r="L46"/>
  <c r="K44"/>
  <c r="J44" s="1"/>
  <c r="L44"/>
  <c r="N13"/>
  <c r="K28"/>
  <c r="K50" s="1"/>
  <c r="N46"/>
  <c r="O34"/>
  <c r="O26"/>
  <c r="J54"/>
  <c r="O19"/>
  <c r="K46"/>
  <c r="K21"/>
  <c r="N28"/>
  <c r="N15"/>
  <c r="L15"/>
  <c r="L13"/>
  <c r="N40"/>
  <c r="H35" i="28"/>
  <c r="K17" i="27"/>
  <c r="K15"/>
  <c r="K32"/>
  <c r="K36"/>
  <c r="L34"/>
  <c r="L19"/>
  <c r="B26" i="17"/>
  <c r="D31" i="28"/>
  <c r="D47"/>
  <c r="D35"/>
  <c r="D41"/>
  <c r="D49"/>
  <c r="D43"/>
  <c r="D29"/>
  <c r="D39"/>
  <c r="D45"/>
  <c r="D25"/>
  <c r="M10" i="17"/>
  <c r="F27" i="28"/>
  <c r="F31"/>
  <c r="F25"/>
  <c r="F41"/>
  <c r="F45"/>
  <c r="F47"/>
  <c r="C47" s="1"/>
  <c r="C48" s="1"/>
  <c r="F39"/>
  <c r="F49"/>
  <c r="F53"/>
  <c r="F43"/>
  <c r="F29"/>
  <c r="F23"/>
  <c r="D28" i="23"/>
  <c r="D27"/>
  <c r="B27"/>
  <c r="B28"/>
  <c r="N58" i="17"/>
  <c r="P24" s="1"/>
  <c r="P26"/>
  <c r="F30" i="23"/>
  <c r="F29"/>
  <c r="E25" i="28"/>
  <c r="C25" s="1"/>
  <c r="C26" s="1"/>
  <c r="E49"/>
  <c r="E51"/>
  <c r="E37"/>
  <c r="E29"/>
  <c r="E23"/>
  <c r="E21" s="1"/>
  <c r="E47"/>
  <c r="E55"/>
  <c r="E45"/>
  <c r="E43"/>
  <c r="C63"/>
  <c r="F37"/>
  <c r="F35"/>
  <c r="C35" s="1"/>
  <c r="C36" s="1"/>
  <c r="F55"/>
  <c r="F51"/>
  <c r="E7" i="21"/>
  <c r="I31" i="28"/>
  <c r="M45"/>
  <c r="I51"/>
  <c r="I45"/>
  <c r="I41"/>
  <c r="I37"/>
  <c r="B44" i="17"/>
  <c r="D10" s="1"/>
  <c r="E9" i="14"/>
  <c r="E12"/>
  <c r="I7" i="21"/>
  <c r="G21" i="23"/>
  <c r="C29" i="28"/>
  <c r="C30" s="1"/>
  <c r="E39"/>
  <c r="E41"/>
  <c r="E31"/>
  <c r="L40" i="27"/>
  <c r="J40" s="1"/>
  <c r="J41" s="1"/>
  <c r="K13"/>
  <c r="L28"/>
  <c r="S28" s="1"/>
  <c r="O15"/>
  <c r="L17"/>
  <c r="S15"/>
  <c r="S19" s="1"/>
  <c r="L36"/>
  <c r="K26"/>
  <c r="O32"/>
  <c r="K34"/>
  <c r="J34"/>
  <c r="J35" s="1"/>
  <c r="M26"/>
  <c r="K19"/>
  <c r="M32"/>
  <c r="G47" i="28"/>
  <c r="G35"/>
  <c r="G53"/>
  <c r="C53"/>
  <c r="C54" s="1"/>
  <c r="O28" i="27"/>
  <c r="L32"/>
  <c r="L26"/>
  <c r="J26" s="1"/>
  <c r="J27" s="1"/>
  <c r="J17"/>
  <c r="J18" s="1"/>
  <c r="D21" i="23"/>
  <c r="D24" s="1"/>
  <c r="N10" i="27"/>
  <c r="C21" i="23"/>
  <c r="C24" s="1"/>
  <c r="G28"/>
  <c r="F27"/>
  <c r="F28"/>
  <c r="C30"/>
  <c r="E25"/>
  <c r="J13" i="27"/>
  <c r="D25" i="23"/>
  <c r="F25"/>
  <c r="J8" i="27"/>
  <c r="N43" i="17"/>
  <c r="P9" s="1"/>
  <c r="P8"/>
  <c r="B42"/>
  <c r="D8" s="1"/>
  <c r="C31" i="23"/>
  <c r="B10" i="17"/>
  <c r="D32" i="23"/>
  <c r="C27"/>
  <c r="L10" i="27"/>
  <c r="K10"/>
  <c r="S26"/>
  <c r="S30" s="1"/>
  <c r="C25" i="23"/>
  <c r="L36" i="76" l="1"/>
  <c r="T27"/>
  <c r="U12"/>
  <c r="L16"/>
  <c r="L32"/>
  <c r="L14"/>
  <c r="U13"/>
  <c r="T28"/>
  <c r="M19"/>
  <c r="M15"/>
  <c r="N21"/>
  <c r="M20"/>
  <c r="M17"/>
  <c r="M24"/>
  <c r="M7"/>
  <c r="M22" s="1"/>
  <c r="N9"/>
  <c r="N26"/>
  <c r="O11"/>
  <c r="I33" i="28"/>
  <c r="M43"/>
  <c r="T41" i="17"/>
  <c r="V9"/>
  <c r="K51" i="27"/>
  <c r="K7" s="1"/>
  <c r="K23"/>
  <c r="F7" i="20"/>
  <c r="G7"/>
  <c r="J56" i="17"/>
  <c r="J73" s="1"/>
  <c r="B73" s="1"/>
  <c r="D39" s="1"/>
  <c r="B41"/>
  <c r="D7" s="1"/>
  <c r="B24"/>
  <c r="J7"/>
  <c r="J22" s="1"/>
  <c r="J39" s="1"/>
  <c r="B9"/>
  <c r="E29" i="23"/>
  <c r="H33" i="28"/>
  <c r="H34" s="1"/>
  <c r="C45"/>
  <c r="C46" s="1"/>
  <c r="K6" i="27"/>
  <c r="C27" i="28"/>
  <c r="C28" s="1"/>
  <c r="C41"/>
  <c r="C42" s="1"/>
  <c r="J31" i="27"/>
  <c r="J21"/>
  <c r="C51" i="28"/>
  <c r="C52" s="1"/>
  <c r="N41" i="17"/>
  <c r="G29" i="23"/>
  <c r="B24"/>
  <c r="Q7" i="17"/>
  <c r="Q22" s="1"/>
  <c r="Q39" s="1"/>
  <c r="V10"/>
  <c r="D8" i="20"/>
  <c r="D9" s="1"/>
  <c r="F33" i="28"/>
  <c r="C55"/>
  <c r="C56" s="1"/>
  <c r="E33"/>
  <c r="E34" s="1"/>
  <c r="G7" i="21"/>
  <c r="I25" i="28"/>
  <c r="J36" i="27"/>
  <c r="J37" s="1"/>
  <c r="D33" i="28"/>
  <c r="D34" s="1"/>
  <c r="J32" i="27"/>
  <c r="J33" s="1"/>
  <c r="J46"/>
  <c r="J19"/>
  <c r="J20" s="1"/>
  <c r="C49" i="28"/>
  <c r="C50" s="1"/>
  <c r="J28" i="27"/>
  <c r="J29" s="1"/>
  <c r="L50"/>
  <c r="S10" i="17"/>
  <c r="S17" i="27"/>
  <c r="C43" i="28"/>
  <c r="C44" s="1"/>
  <c r="D5" i="21"/>
  <c r="D4" s="1"/>
  <c r="F34" i="28"/>
  <c r="E16"/>
  <c r="C39"/>
  <c r="C40" s="1"/>
  <c r="J45" i="27"/>
  <c r="F21" i="28"/>
  <c r="O10" i="27"/>
  <c r="J15"/>
  <c r="O50"/>
  <c r="O51" s="1"/>
  <c r="B7" i="17"/>
  <c r="K22"/>
  <c r="K39" s="1"/>
  <c r="B39" s="1"/>
  <c r="B56"/>
  <c r="D22" s="1"/>
  <c r="K24" i="27"/>
  <c r="B22" i="17"/>
  <c r="J14" i="27"/>
  <c r="G33" i="28"/>
  <c r="G34" s="1"/>
  <c r="C37"/>
  <c r="C38" s="1"/>
  <c r="I21"/>
  <c r="I18" s="1"/>
  <c r="Q41" i="17"/>
  <c r="S9"/>
  <c r="M9"/>
  <c r="K41"/>
  <c r="O23" i="27"/>
  <c r="J47"/>
  <c r="M10"/>
  <c r="M50"/>
  <c r="M23" s="1"/>
  <c r="J22"/>
  <c r="D21" i="28"/>
  <c r="C23"/>
  <c r="C24" s="1"/>
  <c r="C31"/>
  <c r="C32" s="1"/>
  <c r="G21"/>
  <c r="C9" i="20"/>
  <c r="H21" i="28"/>
  <c r="N50" i="27"/>
  <c r="N51" s="1"/>
  <c r="G32" i="23"/>
  <c r="E22" i="28"/>
  <c r="E27" i="23"/>
  <c r="E28"/>
  <c r="F32"/>
  <c r="B31"/>
  <c r="O26" i="76" l="1"/>
  <c r="O9"/>
  <c r="P11"/>
  <c r="O21"/>
  <c r="N20"/>
  <c r="N17"/>
  <c r="N15"/>
  <c r="N19"/>
  <c r="U28"/>
  <c r="V13"/>
  <c r="N24"/>
  <c r="N7"/>
  <c r="N22" s="1"/>
  <c r="M16"/>
  <c r="L37"/>
  <c r="W37" s="1"/>
  <c r="L39"/>
  <c r="W39" s="1"/>
  <c r="L35"/>
  <c r="L33"/>
  <c r="L31"/>
  <c r="N18"/>
  <c r="L30"/>
  <c r="L29" s="1"/>
  <c r="U27"/>
  <c r="V12"/>
  <c r="L51" i="27"/>
  <c r="L23"/>
  <c r="L6" s="1"/>
  <c r="N56" i="17"/>
  <c r="P7"/>
  <c r="F5" i="21"/>
  <c r="F4" s="1"/>
  <c r="G8" i="20"/>
  <c r="G9" s="1"/>
  <c r="O6" i="27"/>
  <c r="S38"/>
  <c r="S44" s="1"/>
  <c r="E5" i="21"/>
  <c r="E4" s="1"/>
  <c r="F8" i="20"/>
  <c r="F9" s="1"/>
  <c r="H7"/>
  <c r="V7" i="17"/>
  <c r="T56"/>
  <c r="J16" i="27"/>
  <c r="J10"/>
  <c r="H22" i="28"/>
  <c r="H16"/>
  <c r="G22"/>
  <c r="G16"/>
  <c r="N23" i="27"/>
  <c r="N6" s="1"/>
  <c r="M51"/>
  <c r="J50"/>
  <c r="C20" i="28"/>
  <c r="M6" i="27"/>
  <c r="Q56" i="17"/>
  <c r="S7"/>
  <c r="J11" i="27"/>
  <c r="C33" i="28"/>
  <c r="C34" s="1"/>
  <c r="N7" i="27"/>
  <c r="N24"/>
  <c r="D16" i="28"/>
  <c r="C21"/>
  <c r="C22" s="1"/>
  <c r="D22"/>
  <c r="K56" i="17"/>
  <c r="M7"/>
  <c r="O7" i="27"/>
  <c r="O24"/>
  <c r="F22" i="28"/>
  <c r="F16"/>
  <c r="N16" i="76" l="1"/>
  <c r="V27"/>
  <c r="Z28"/>
  <c r="P26"/>
  <c r="Q11"/>
  <c r="P9"/>
  <c r="Y28"/>
  <c r="M14"/>
  <c r="O17"/>
  <c r="O15"/>
  <c r="O20"/>
  <c r="O19"/>
  <c r="P21"/>
  <c r="O24"/>
  <c r="O7"/>
  <c r="O22" s="1"/>
  <c r="V28"/>
  <c r="N14"/>
  <c r="O18"/>
  <c r="C16" i="28"/>
  <c r="I7" i="20"/>
  <c r="J7"/>
  <c r="P22" i="17"/>
  <c r="N73"/>
  <c r="P39" s="1"/>
  <c r="T73"/>
  <c r="V39" s="1"/>
  <c r="V22"/>
  <c r="S42" i="27"/>
  <c r="S40"/>
  <c r="L24"/>
  <c r="L7"/>
  <c r="J6"/>
  <c r="K73" i="17"/>
  <c r="M39" s="1"/>
  <c r="M22"/>
  <c r="J51" i="27"/>
  <c r="J23"/>
  <c r="Q73" i="17"/>
  <c r="S39" s="1"/>
  <c r="S22"/>
  <c r="M7" i="27"/>
  <c r="M24"/>
  <c r="N37" i="76" l="1"/>
  <c r="N39"/>
  <c r="N35"/>
  <c r="Y27"/>
  <c r="Z27"/>
  <c r="N30"/>
  <c r="O36"/>
  <c r="M37"/>
  <c r="M39"/>
  <c r="M33"/>
  <c r="M30"/>
  <c r="M32"/>
  <c r="M35"/>
  <c r="M36"/>
  <c r="P24"/>
  <c r="P7"/>
  <c r="P22" s="1"/>
  <c r="N36"/>
  <c r="N31"/>
  <c r="O14"/>
  <c r="M31"/>
  <c r="R11"/>
  <c r="Q9"/>
  <c r="Q26"/>
  <c r="Q18"/>
  <c r="N32"/>
  <c r="P19"/>
  <c r="P15"/>
  <c r="P20"/>
  <c r="P17"/>
  <c r="Q21"/>
  <c r="O32"/>
  <c r="O16"/>
  <c r="N33"/>
  <c r="P18"/>
  <c r="H5" i="21"/>
  <c r="H4" s="1"/>
  <c r="J8" i="20"/>
  <c r="J9" s="1"/>
  <c r="I8"/>
  <c r="I9" s="1"/>
  <c r="K7"/>
  <c r="G5" i="21"/>
  <c r="G4" s="1"/>
  <c r="J24" i="27"/>
  <c r="J7"/>
  <c r="X24" i="76" l="1"/>
  <c r="M29"/>
  <c r="Q19"/>
  <c r="Q15"/>
  <c r="R21"/>
  <c r="Q20"/>
  <c r="Q17"/>
  <c r="O39"/>
  <c r="O37"/>
  <c r="P16"/>
  <c r="O33"/>
  <c r="Q24"/>
  <c r="Q7"/>
  <c r="Q22" s="1"/>
  <c r="O30"/>
  <c r="O29" s="1"/>
  <c r="N29"/>
  <c r="O35"/>
  <c r="O31"/>
  <c r="R26"/>
  <c r="S11"/>
  <c r="R9"/>
  <c r="X26"/>
  <c r="L7" i="20"/>
  <c r="M7"/>
  <c r="R24" i="76" l="1"/>
  <c r="R7"/>
  <c r="R22" s="1"/>
  <c r="P31"/>
  <c r="S21"/>
  <c r="R17"/>
  <c r="R19"/>
  <c r="R15"/>
  <c r="R20"/>
  <c r="R18"/>
  <c r="X22"/>
  <c r="Q14"/>
  <c r="P14"/>
  <c r="S26"/>
  <c r="S18"/>
  <c r="T11"/>
  <c r="S9"/>
  <c r="Q32"/>
  <c r="Q16"/>
  <c r="Q35"/>
  <c r="J5" i="21"/>
  <c r="J4" s="1"/>
  <c r="M8" i="20"/>
  <c r="M9" s="1"/>
  <c r="I5" i="21"/>
  <c r="I4" s="1"/>
  <c r="L8" i="20"/>
  <c r="L9" s="1"/>
  <c r="N7"/>
  <c r="S24" i="76" l="1"/>
  <c r="S7"/>
  <c r="S22" s="1"/>
  <c r="P39"/>
  <c r="P37"/>
  <c r="P33"/>
  <c r="P35"/>
  <c r="P32"/>
  <c r="P36"/>
  <c r="P30"/>
  <c r="T26"/>
  <c r="U11"/>
  <c r="T9"/>
  <c r="Q37"/>
  <c r="X37" s="1"/>
  <c r="Q39"/>
  <c r="X39" s="1"/>
  <c r="Q33"/>
  <c r="R16"/>
  <c r="R14" s="1"/>
  <c r="Q31"/>
  <c r="Q30"/>
  <c r="S17"/>
  <c r="T21"/>
  <c r="S15"/>
  <c r="S20"/>
  <c r="S19"/>
  <c r="Q36"/>
  <c r="P7" i="20"/>
  <c r="O7"/>
  <c r="R37" i="76" l="1"/>
  <c r="R39"/>
  <c r="R36"/>
  <c r="R32"/>
  <c r="R35"/>
  <c r="R30"/>
  <c r="R33"/>
  <c r="Q29"/>
  <c r="V11"/>
  <c r="U9"/>
  <c r="U26"/>
  <c r="S16"/>
  <c r="S14" s="1"/>
  <c r="T24"/>
  <c r="T7"/>
  <c r="T22" s="1"/>
  <c r="U21"/>
  <c r="T17"/>
  <c r="T15"/>
  <c r="T20"/>
  <c r="T19"/>
  <c r="R31"/>
  <c r="T18"/>
  <c r="P29"/>
  <c r="R7" i="20"/>
  <c r="Q7"/>
  <c r="O8"/>
  <c r="K5" i="21"/>
  <c r="K4" s="1"/>
  <c r="L5"/>
  <c r="L4" s="1"/>
  <c r="P8" i="20"/>
  <c r="S7"/>
  <c r="S39" i="76" l="1"/>
  <c r="S37"/>
  <c r="S33"/>
  <c r="S36"/>
  <c r="S32"/>
  <c r="S30"/>
  <c r="S35"/>
  <c r="V21"/>
  <c r="U17"/>
  <c r="U15"/>
  <c r="U19"/>
  <c r="U20"/>
  <c r="U18"/>
  <c r="U24"/>
  <c r="U7"/>
  <c r="U22" s="1"/>
  <c r="R29"/>
  <c r="S31"/>
  <c r="T16"/>
  <c r="T14" s="1"/>
  <c r="V18"/>
  <c r="V9"/>
  <c r="V26"/>
  <c r="Z26" s="1"/>
  <c r="R8" i="20"/>
  <c r="O9"/>
  <c r="R9" s="1"/>
  <c r="P9"/>
  <c r="S9" s="1"/>
  <c r="S8"/>
  <c r="Y26" i="76" l="1"/>
  <c r="T37"/>
  <c r="T39"/>
  <c r="T35"/>
  <c r="T33"/>
  <c r="T32"/>
  <c r="T30"/>
  <c r="T36"/>
  <c r="V24"/>
  <c r="Y24" s="1"/>
  <c r="V7"/>
  <c r="V22" s="1"/>
  <c r="Z22" s="1"/>
  <c r="U33"/>
  <c r="U14"/>
  <c r="U32"/>
  <c r="U16"/>
  <c r="U36"/>
  <c r="V17"/>
  <c r="V15"/>
  <c r="V19"/>
  <c r="V20"/>
  <c r="S29"/>
  <c r="T31"/>
  <c r="U35"/>
  <c r="U37" l="1"/>
  <c r="U39"/>
  <c r="V16"/>
  <c r="T29"/>
  <c r="Y22"/>
  <c r="U31"/>
  <c r="U30"/>
  <c r="U29" s="1"/>
  <c r="Z24"/>
  <c r="V14" l="1"/>
  <c r="V37" l="1"/>
  <c r="V39"/>
  <c r="V33"/>
  <c r="V36"/>
  <c r="V30"/>
  <c r="V32"/>
  <c r="V35"/>
  <c r="V31"/>
  <c r="Z39" l="1"/>
  <c r="Y39"/>
  <c r="V29"/>
  <c r="Z37"/>
  <c r="Y37"/>
</calcChain>
</file>

<file path=xl/comments1.xml><?xml version="1.0" encoding="utf-8"?>
<comments xmlns="http://schemas.openxmlformats.org/spreadsheetml/2006/main">
  <authors>
    <author>User</author>
  </authors>
  <commentList>
    <comment ref="D11" authorId="0">
      <text>
        <r>
          <rPr>
            <b/>
            <sz val="8"/>
            <color indexed="81"/>
            <rFont val="Tahoma"/>
            <family val="2"/>
            <charset val="163"/>
          </rPr>
          <t>User:</t>
        </r>
        <r>
          <rPr>
            <sz val="8"/>
            <color indexed="81"/>
            <rFont val="Tahoma"/>
            <family val="2"/>
            <charset val="163"/>
          </rPr>
          <t xml:space="preserve">
bang ke hoach ban dau la 9,5-10,2 nhung trong van kien la tu 10-10,2% o trang 26</t>
        </r>
      </text>
    </comment>
    <comment ref="F18" authorId="0">
      <text>
        <r>
          <rPr>
            <b/>
            <sz val="8"/>
            <color indexed="81"/>
            <rFont val="Tahoma"/>
            <family val="2"/>
            <charset val="163"/>
          </rPr>
          <t>User:</t>
        </r>
        <r>
          <rPr>
            <sz val="8"/>
            <color indexed="81"/>
            <rFont val="Tahoma"/>
            <family val="2"/>
            <charset val="163"/>
          </rPr>
          <t xml:space="preserve">
Số cũ là 41,5</t>
        </r>
      </text>
    </comment>
    <comment ref="H29" authorId="0">
      <text>
        <r>
          <rPr>
            <b/>
            <sz val="8"/>
            <color indexed="81"/>
            <rFont val="Tahoma"/>
            <family val="2"/>
            <charset val="163"/>
          </rPr>
          <t>User:</t>
        </r>
        <r>
          <rPr>
            <sz val="8"/>
            <color indexed="81"/>
            <rFont val="Tahoma"/>
            <family val="2"/>
            <charset val="163"/>
          </rPr>
          <t xml:space="preserve">
số cũ là 71,7 còn số &gt;71,5 là số mới nhất của BỘ Y tế ngày 19/9</t>
        </r>
      </text>
    </comment>
    <comment ref="D31" authorId="0">
      <text>
        <r>
          <rPr>
            <b/>
            <sz val="8"/>
            <color indexed="81"/>
            <rFont val="Tahoma"/>
            <family val="2"/>
            <charset val="163"/>
          </rPr>
          <t>User:</t>
        </r>
        <r>
          <rPr>
            <sz val="8"/>
            <color indexed="81"/>
            <rFont val="Tahoma"/>
            <family val="2"/>
            <charset val="163"/>
          </rPr>
          <t xml:space="preserve">
theo ke hoach 5 năm của Quốc hội là 14,7 nhưng trong văn kiện đại hội đảng là tốc độ tăng trung học chuyên nghiệp là 15%</t>
        </r>
      </text>
    </comment>
    <comment ref="H32" authorId="0">
      <text>
        <r>
          <rPr>
            <b/>
            <sz val="8"/>
            <color indexed="81"/>
            <rFont val="Tahoma"/>
            <family val="2"/>
            <charset val="163"/>
          </rPr>
          <t>User:</t>
        </r>
        <r>
          <rPr>
            <sz val="8"/>
            <color indexed="81"/>
            <rFont val="Tahoma"/>
            <family val="2"/>
            <charset val="163"/>
          </rPr>
          <t xml:space="preserve">
số cũ là 15,5 còn số 16 là số mới nhất của Bộ Y tế
</t>
        </r>
      </text>
    </comment>
    <comment ref="H34" authorId="0">
      <text>
        <r>
          <rPr>
            <b/>
            <sz val="8"/>
            <color indexed="81"/>
            <rFont val="Tahoma"/>
            <family val="2"/>
            <charset val="163"/>
          </rPr>
          <t>User:</t>
        </r>
        <r>
          <rPr>
            <sz val="8"/>
            <color indexed="81"/>
            <rFont val="Tahoma"/>
            <family val="2"/>
            <charset val="163"/>
          </rPr>
          <t xml:space="preserve">
số cũ là 75
số mới là 80 theo của Bộ Y Tế</t>
        </r>
      </text>
    </comment>
    <comment ref="H35" authorId="0">
      <text>
        <r>
          <rPr>
            <b/>
            <sz val="8"/>
            <color indexed="81"/>
            <rFont val="Tahoma"/>
            <family val="2"/>
            <charset val="163"/>
          </rPr>
          <t>User:</t>
        </r>
        <r>
          <rPr>
            <sz val="8"/>
            <color indexed="81"/>
            <rFont val="Tahoma"/>
            <family val="2"/>
            <charset val="163"/>
          </rPr>
          <t xml:space="preserve">
số cũ là 6,3
Số mới là 6,03 của Bộ Y Tế</t>
        </r>
      </text>
    </comment>
    <comment ref="F40" authorId="0">
      <text>
        <r>
          <rPr>
            <b/>
            <sz val="8"/>
            <color indexed="81"/>
            <rFont val="Tahoma"/>
            <family val="2"/>
            <charset val="163"/>
          </rPr>
          <t>User:</t>
        </r>
        <r>
          <rPr>
            <sz val="8"/>
            <color indexed="81"/>
            <rFont val="Tahoma"/>
            <family val="2"/>
            <charset val="163"/>
          </rPr>
          <t xml:space="preserve">
theo van ban chinh thuc cua Bo Nong nghiep phat trien nong thon</t>
        </r>
      </text>
    </comment>
  </commentList>
</comments>
</file>

<file path=xl/comments2.xml><?xml version="1.0" encoding="utf-8"?>
<comments xmlns="http://schemas.openxmlformats.org/spreadsheetml/2006/main">
  <authors>
    <author xml:space="preserve">10-Chu Van An </author>
  </authors>
  <commentList>
    <comment ref="J27" authorId="0">
      <text>
        <r>
          <rPr>
            <b/>
            <sz val="10"/>
            <color indexed="81"/>
            <rFont val="Tahoma"/>
            <family val="2"/>
          </rPr>
          <t>10-Chu Van An :</t>
        </r>
        <r>
          <rPr>
            <sz val="10"/>
            <color indexed="81"/>
            <rFont val="Tahoma"/>
            <family val="2"/>
          </rPr>
          <t xml:space="preserve">
NHNN dự kien vay tra no trung han 0,8-2 tỷ USD; vay nợ ngắn hạn ròng: 0,2-0,8 tỷ USD; FII: 0,2-1,2 tỷ USD; Tiền và tiền gửi, tài sản có khác thâm hụt 1,5-3,6 tỷ USD
</t>
        </r>
      </text>
    </comment>
    <comment ref="J61" authorId="0">
      <text>
        <r>
          <rPr>
            <b/>
            <sz val="10"/>
            <color indexed="81"/>
            <rFont val="Tahoma"/>
            <family val="2"/>
          </rPr>
          <t>10-Chu Van An :</t>
        </r>
        <r>
          <rPr>
            <sz val="10"/>
            <color indexed="81"/>
            <rFont val="Tahoma"/>
            <family val="2"/>
          </rPr>
          <t xml:space="preserve">
NHNN dự kien vay tra no trung han 0,8-2 tỷ USD; vay nợ ngắn hạn ròng: 0,2-0,8 tỷ USD; FII: 0,2-1,2 tỷ USD; Tiền và tiền gửi, tài sản có khác thâm hụt 1,5-3,6 tỷ USD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H7" authorId="0">
      <text>
        <r>
          <rPr>
            <b/>
            <sz val="8"/>
            <color indexed="81"/>
            <rFont val="Tahoma"/>
            <family val="2"/>
            <charset val="163"/>
          </rPr>
          <t>User:</t>
        </r>
        <r>
          <rPr>
            <sz val="8"/>
            <color indexed="81"/>
            <rFont val="Tahoma"/>
            <family val="2"/>
            <charset val="163"/>
          </rPr>
          <t xml:space="preserve">
Đã sửa theo đánh giá lại của thống kê
Số trước khi sửa là 1569,845</t>
        </r>
      </text>
    </comment>
    <comment ref="H8" authorId="0">
      <text>
        <r>
          <rPr>
            <b/>
            <sz val="8"/>
            <color indexed="81"/>
            <rFont val="Tahoma"/>
            <family val="2"/>
            <charset val="163"/>
          </rPr>
          <t>User:</t>
        </r>
        <r>
          <rPr>
            <sz val="8"/>
            <color indexed="81"/>
            <rFont val="Tahoma"/>
            <family val="2"/>
            <charset val="163"/>
          </rPr>
          <t xml:space="preserve">
uớc tại kỳ họp 4 khóa 12 là 18
</t>
        </r>
      </text>
    </comment>
    <comment ref="H22" authorId="0">
      <text>
        <r>
          <rPr>
            <b/>
            <sz val="8"/>
            <color indexed="81"/>
            <rFont val="Tahoma"/>
            <family val="2"/>
            <charset val="163"/>
          </rPr>
          <t>User:</t>
        </r>
        <r>
          <rPr>
            <sz val="8"/>
            <color indexed="81"/>
            <rFont val="Tahoma"/>
            <family val="2"/>
            <charset val="163"/>
          </rPr>
          <t xml:space="preserve">
ước tại kỳ họp 4 khóa 12 là 1366,693</t>
        </r>
      </text>
    </comment>
    <comment ref="H23" authorId="0">
      <text>
        <r>
          <rPr>
            <b/>
            <sz val="8"/>
            <color indexed="81"/>
            <rFont val="Tahoma"/>
            <family val="2"/>
            <charset val="163"/>
          </rPr>
          <t>User:</t>
        </r>
        <r>
          <rPr>
            <sz val="8"/>
            <color indexed="81"/>
            <rFont val="Tahoma"/>
            <family val="2"/>
            <charset val="163"/>
          </rPr>
          <t xml:space="preserve">
ước là 28
</t>
        </r>
      </text>
    </comment>
  </commentList>
</comments>
</file>

<file path=xl/sharedStrings.xml><?xml version="1.0" encoding="utf-8"?>
<sst xmlns="http://schemas.openxmlformats.org/spreadsheetml/2006/main" count="1110" uniqueCount="464">
  <si>
    <t>STT</t>
  </si>
  <si>
    <t>ChØ tiªu</t>
  </si>
  <si>
    <t>§¬n vÞ
tÝnh</t>
  </si>
  <si>
    <t>A</t>
  </si>
  <si>
    <t>T¨ng tr­ëng GDP</t>
  </si>
  <si>
    <t>%</t>
  </si>
  <si>
    <t>Trong ®ã:</t>
  </si>
  <si>
    <t xml:space="preserve"> - Tæng GDP theo VN§</t>
  </si>
  <si>
    <t xml:space="preserve"> - Tæng GDP qui USD </t>
  </si>
  <si>
    <t xml:space="preserve"> - GDP b×nh qu©n ®Çu ng­êi</t>
  </si>
  <si>
    <t>USD</t>
  </si>
  <si>
    <t>10-11</t>
  </si>
  <si>
    <t>1/100.000</t>
  </si>
  <si>
    <t>%o</t>
  </si>
  <si>
    <t>Ngh×n tû ®ång</t>
  </si>
  <si>
    <t>Tèc ®é t¨ng</t>
  </si>
  <si>
    <t>D</t>
  </si>
  <si>
    <t>Tên chỉ tiêu</t>
  </si>
  <si>
    <t>Đơn vị</t>
  </si>
  <si>
    <t>Mục tiêu KH 2006-2010</t>
  </si>
  <si>
    <t>TH năm 2006</t>
  </si>
  <si>
    <t>TH năm 2007</t>
  </si>
  <si>
    <t>Ước TH năm 2008</t>
  </si>
  <si>
    <t>Khả năng đạt mục tiêu KH 5 năm</t>
  </si>
  <si>
    <t>I.</t>
  </si>
  <si>
    <t>VỀ KINH TẾ</t>
  </si>
  <si>
    <t>Tốc độ tăng tổng sản phẩm trong nước (GDP)</t>
  </si>
  <si>
    <t>7,5-8%/năm, phấn đấu đạt &gt;8%</t>
  </si>
  <si>
    <t>Phấn đấu đạt</t>
  </si>
  <si>
    <t>GDP giá so sánh (năm 2000 là 273.666)</t>
  </si>
  <si>
    <t>tỷ đồng</t>
  </si>
  <si>
    <t>gấp 2,1 lần so với 2000</t>
  </si>
  <si>
    <t>491.258-493.603</t>
  </si>
  <si>
    <t>GDP bình quân đầu người</t>
  </si>
  <si>
    <t>Đạt</t>
  </si>
  <si>
    <t>Giá trị tăng thêm của NLNN</t>
  </si>
  <si>
    <t>Giá trị tăng thêm của CN-XD</t>
  </si>
  <si>
    <t>Giá trị tăng thêm của Dịch vụ</t>
  </si>
  <si>
    <t>Cơ cấu GDP</t>
  </si>
  <si>
    <t>- Nông lâm nghiệp và thủy sản</t>
  </si>
  <si>
    <t>Không đạt</t>
  </si>
  <si>
    <t>- Công nghiệp và xây dựng</t>
  </si>
  <si>
    <t>- Dịch vụ</t>
  </si>
  <si>
    <t>Tốc độ tăng kim ngạch xuất khẩu hàng hóa</t>
  </si>
  <si>
    <t>16</t>
  </si>
  <si>
    <t>Vốn đầu tư phát triển toàn xã hội so với GDP</t>
  </si>
  <si>
    <t>40</t>
  </si>
  <si>
    <t>Tỷ lệ huy động GDP hàng năm vào NSNN</t>
  </si>
  <si>
    <t>21-22</t>
  </si>
  <si>
    <t>II.</t>
  </si>
  <si>
    <t>VỀ XÃ HỘI</t>
  </si>
  <si>
    <t>Số địa phương đạt chuẩn chương trình phổ cập giáo dục trung học cơ sở</t>
  </si>
  <si>
    <t>Tỉnh</t>
  </si>
  <si>
    <t>64 (Hiện nay là 63)</t>
  </si>
  <si>
    <t>Sinh viên ĐH, cao đẳng/vạn dân</t>
  </si>
  <si>
    <t>SV</t>
  </si>
  <si>
    <t>200</t>
  </si>
  <si>
    <t>180</t>
  </si>
  <si>
    <t>188</t>
  </si>
  <si>
    <t>Tỷ lệ lao động qua đào tạo</t>
  </si>
  <si>
    <t>30,5</t>
  </si>
  <si>
    <t>37</t>
  </si>
  <si>
    <t>Tốc độ phát triển dân số</t>
  </si>
  <si>
    <t>Tạo việc làm</t>
  </si>
  <si>
    <t>Triệu LĐ</t>
  </si>
  <si>
    <t>Tỷ lệ thất nghiệp thành thị</t>
  </si>
  <si>
    <t>Tỷ trọng lao động nông lâm ngư nghiệp trong tổng lao động (năm 2005 là 58%)</t>
  </si>
  <si>
    <t>Tuổi thọ trung bình</t>
  </si>
  <si>
    <t>Tuổi</t>
  </si>
  <si>
    <t>72</t>
  </si>
  <si>
    <t>71,5</t>
  </si>
  <si>
    <t>Tốc độ tăng tuyển mới trung cấp chuyên nghiệp</t>
  </si>
  <si>
    <t>13,4</t>
  </si>
  <si>
    <t>Tăng tuyển mới cao đẳng nghề và trung cấp nghề</t>
  </si>
  <si>
    <t>17,0</t>
  </si>
  <si>
    <t>Tỷ lệ tử vong trẻ em dưới 1 tuổi</t>
  </si>
  <si>
    <t>Vượt</t>
  </si>
  <si>
    <t>Tỷ lệ trẻ em dưới 5 tuổi bị suy dinh dưỡng</t>
  </si>
  <si>
    <t>Tỷ lệ tử vong bà mẹ liên quan đến thai sản/100.000 trẻ đẻ sống</t>
  </si>
  <si>
    <t>Bác sĩ/vạn dân</t>
  </si>
  <si>
    <t>bác sĩ</t>
  </si>
  <si>
    <t>Tỷ lệ hộ nghèo (Năm 2005 là 22%)</t>
  </si>
  <si>
    <t>Điện thoại/100 dân</t>
  </si>
  <si>
    <t>máy</t>
  </si>
  <si>
    <t>Internet/100 dân</t>
  </si>
  <si>
    <t>thuê bao</t>
  </si>
  <si>
    <t>III.</t>
  </si>
  <si>
    <t>VỀ MÔI TRƯỜNG</t>
  </si>
  <si>
    <t>Tỷ lệ che phủ rừng</t>
  </si>
  <si>
    <t>Tỷ lệ dân số nông thôn được sử dụng nước hợp vệ sinh</t>
  </si>
  <si>
    <t>Tỷ lệ dân số đô thị được sử dụng nước sạch</t>
  </si>
  <si>
    <t>Thùc hiÖn 2005</t>
  </si>
  <si>
    <t>Ghi chó</t>
  </si>
  <si>
    <t>Dự kiến 2 năm 2009-2010</t>
  </si>
  <si>
    <t>Gấp 1,8 lần</t>
  </si>
  <si>
    <t>Gấp 1,9 lần</t>
  </si>
  <si>
    <t>Thực hiện 2005</t>
  </si>
  <si>
    <t>&lt;18</t>
  </si>
  <si>
    <t xml:space="preserve">CHỈ TIÊU 2 NĂM CÒN LẠI 2009-2010 THEO VĂN KIỆN ĐẠI HỘI ĐẢNG X </t>
  </si>
  <si>
    <t>I</t>
  </si>
  <si>
    <t>II</t>
  </si>
  <si>
    <t>8 (5 năm)</t>
  </si>
  <si>
    <t>58-60</t>
  </si>
  <si>
    <t>Phô lôc 13</t>
  </si>
  <si>
    <t>Nguån vèn huy ®éng</t>
  </si>
  <si>
    <t>- TiÒn göi b»ng VN§</t>
  </si>
  <si>
    <t>- TiÒn göi b»ng ngo¹i tÖ</t>
  </si>
  <si>
    <t>- Tû lÖ tiÒn mÆt ngoµi hÖ thèng ng©n hµng/M2</t>
  </si>
  <si>
    <t>Tæng d­ nî cho vay nÒn kinh tÕ</t>
  </si>
  <si>
    <t>- Cho vay b»ng VN§</t>
  </si>
  <si>
    <t>- Cho vay ngo¹i tÖ</t>
  </si>
  <si>
    <t>GDP</t>
  </si>
  <si>
    <t>- Tû lÖ tiÒn göi/GDP</t>
  </si>
  <si>
    <t>III</t>
  </si>
  <si>
    <t>IV</t>
  </si>
  <si>
    <t>Tæng ph­¬ng tiÖn thanh to¸n/GDP</t>
  </si>
  <si>
    <t>TiÒn mÆt l­u th«ng ngoµi hÖ thèng ng©n hµng</t>
  </si>
  <si>
    <t>Tæng ph­¬ng tiÖn thanh to¸n (M2)</t>
  </si>
  <si>
    <t>+ Tèc ®é t¨ng</t>
  </si>
  <si>
    <t>+Tû lÖ cho vay b»ng VN§/tæng d­ nî</t>
  </si>
  <si>
    <t>+ Tû lÖ cho vay b»ng ngo¹i tÖ/tæng d­ nî</t>
  </si>
  <si>
    <t>- Tèc ®é t¨ng</t>
  </si>
  <si>
    <t>Bình quân/ Thực hiện 3 năm 2006-2008</t>
  </si>
  <si>
    <t>&lt;4,5</t>
  </si>
  <si>
    <t>Khó đạt</t>
  </si>
  <si>
    <t>Gấp 2,0 lần</t>
  </si>
  <si>
    <r>
      <t>25,0</t>
    </r>
    <r>
      <rPr>
        <vertAlign val="superscript"/>
        <sz val="12"/>
        <rFont val="Times New Roman"/>
        <family val="1"/>
      </rPr>
      <t>(1)</t>
    </r>
  </si>
  <si>
    <r>
      <t>(1)</t>
    </r>
    <r>
      <rPr>
        <sz val="12"/>
        <rFont val="Times New Roman"/>
        <family val="1"/>
      </rPr>
      <t xml:space="preserve"> Bình quân năm 2007-2008. Năm 2006 chưa có chỉ tiêu cao đẳng nghề và trung cấp nghề.</t>
    </r>
  </si>
  <si>
    <t>Phụ lục 2</t>
  </si>
  <si>
    <t>Môc tiªu KH 2011-2015</t>
  </si>
  <si>
    <t>tiÒn tÖ - tÝn dông 2011-2015</t>
  </si>
  <si>
    <t xml:space="preserve"> CÁN CÂN THANH TOÁN QUỐC TẾ </t>
  </si>
  <si>
    <t>Đơn vị: triệu USD</t>
  </si>
  <si>
    <t>Mục tiêu kế hoạch 5 năm 2011-2015</t>
  </si>
  <si>
    <t>Thực hiện 
2007</t>
  </si>
  <si>
    <t>Thực hiện
2008</t>
  </si>
  <si>
    <t>Kế hoạch
2009</t>
  </si>
  <si>
    <t>Ước thực hiện
2009</t>
  </si>
  <si>
    <t>KH 2010</t>
  </si>
  <si>
    <t>KH 2012</t>
  </si>
  <si>
    <t>KH 2013</t>
  </si>
  <si>
    <t>KH 2014</t>
  </si>
  <si>
    <t>KH 2015</t>
  </si>
  <si>
    <t>Cán cân thương mại</t>
  </si>
  <si>
    <t>Xuất khẩu</t>
  </si>
  <si>
    <t>Nhập khẩu</t>
  </si>
  <si>
    <t>Nhập khẩu (giá CIF)</t>
  </si>
  <si>
    <t>Dịch vụ</t>
  </si>
  <si>
    <t>Thu</t>
  </si>
  <si>
    <t>Chi</t>
  </si>
  <si>
    <t>Thu nhập đầu tư</t>
  </si>
  <si>
    <t>Chuyển tiền</t>
  </si>
  <si>
    <t>Nhà nước</t>
  </si>
  <si>
    <t>Tư nhân</t>
  </si>
  <si>
    <t>Cán cân vãng lai</t>
  </si>
  <si>
    <t>Cán cân vốn</t>
  </si>
  <si>
    <t>Đầu tư trực tiếp nước ngoài</t>
  </si>
  <si>
    <t>Vay trả nợ trung dài hạn</t>
  </si>
  <si>
    <t>Vay</t>
  </si>
  <si>
    <t>Trả đến hạn</t>
  </si>
  <si>
    <t>Vay ngắn hạn</t>
  </si>
  <si>
    <t>Đầu tư vào giấy tờ có giá</t>
  </si>
  <si>
    <t>Tiền và tiền gửi</t>
  </si>
  <si>
    <t>Lỗi - sai số</t>
  </si>
  <si>
    <t>Cán cân tổng thể</t>
  </si>
  <si>
    <t>Chi số giá</t>
  </si>
  <si>
    <t>PA1</t>
  </si>
  <si>
    <t>PA2</t>
  </si>
  <si>
    <t>TB</t>
  </si>
  <si>
    <t>Tỷ giá</t>
  </si>
  <si>
    <t>Dân số</t>
  </si>
  <si>
    <t>Tổng 5 năm</t>
  </si>
  <si>
    <t>Nguồn</t>
  </si>
  <si>
    <t>KN nhập khẩu</t>
  </si>
  <si>
    <t>Nhập khẩu (giá FOB)</t>
  </si>
  <si>
    <t>Sử dụng</t>
  </si>
  <si>
    <t>Tiêu dùng cuối cùng</t>
  </si>
  <si>
    <t>Tổng tích lũy tài sản</t>
  </si>
  <si>
    <t>Tiết kiệm</t>
  </si>
  <si>
    <t>KNXK</t>
  </si>
  <si>
    <t>XK (giá FOB)</t>
  </si>
  <si>
    <t>Chênh lệch XNK HH và DV</t>
  </si>
  <si>
    <t>Đơn vị tính</t>
  </si>
  <si>
    <t>Ng.tỷ Đ</t>
  </si>
  <si>
    <t>Tỷ USD</t>
  </si>
  <si>
    <t>Ng.Đ</t>
  </si>
  <si>
    <t>Cơ cấu</t>
  </si>
  <si>
    <t>Cơ cấu Tích lũy - tiêu dùng</t>
  </si>
  <si>
    <t>Tiêu dùng</t>
  </si>
  <si>
    <t>TÍch lũy</t>
  </si>
  <si>
    <t>Tiêu dùng/GDP</t>
  </si>
  <si>
    <t>TÍch lũy/GDP</t>
  </si>
  <si>
    <t>Tiết kiệm/GDP</t>
  </si>
  <si>
    <t>NN</t>
  </si>
  <si>
    <t>CN</t>
  </si>
  <si>
    <t>DV</t>
  </si>
  <si>
    <t>NN 1</t>
  </si>
  <si>
    <t>CN 1</t>
  </si>
  <si>
    <t>FII</t>
  </si>
  <si>
    <t>GDP thuc te 1</t>
  </si>
  <si>
    <t>GDP thuc te 2</t>
  </si>
  <si>
    <t>NN 2</t>
  </si>
  <si>
    <t>CN 2</t>
  </si>
  <si>
    <t>DV1</t>
  </si>
  <si>
    <t>DV2</t>
  </si>
  <si>
    <t>Lao dong</t>
  </si>
  <si>
    <t>2015-1</t>
  </si>
  <si>
    <t>2015-2</t>
  </si>
  <si>
    <t>trieu ld</t>
  </si>
  <si>
    <t>Nang suat lao dong</t>
  </si>
  <si>
    <t>Tong 1</t>
  </si>
  <si>
    <t>¦íc thùc hiÖn 2011</t>
  </si>
  <si>
    <t>Trong đó:</t>
  </si>
  <si>
    <t>TỔNG SỐ</t>
  </si>
  <si>
    <t>Nông nghiệp</t>
  </si>
  <si>
    <t>Tỷ trọng so với tổng số (%)</t>
  </si>
  <si>
    <t>Công nghiệp và xây dựng</t>
  </si>
  <si>
    <t>Trong đó</t>
  </si>
  <si>
    <t>Khai khoáng</t>
  </si>
  <si>
    <t>Công nghiệp chế biến và chế tạo</t>
  </si>
  <si>
    <t>Sản xuất và phân phối điện, khí đốt, nước nóng, hơi nước và điều hòa không khí</t>
  </si>
  <si>
    <t>Cung cấp nước; hoạt động quản lý và xử lý nước thải</t>
  </si>
  <si>
    <t>Xây dựng</t>
  </si>
  <si>
    <t>Bán buôn và bán lẻ; sửa chữa ô tô, mô tô và xe máy và xe có động cơ khác</t>
  </si>
  <si>
    <t>Vận tải; kho bãi</t>
  </si>
  <si>
    <t>Dịch vụ lưu trú và ăn uống</t>
  </si>
  <si>
    <t>Thông tin và truyền thông</t>
  </si>
  <si>
    <t>Hoạt động tài chính, ngân hàng và  bảo hiểm</t>
  </si>
  <si>
    <t>Hoạt động kinh doanh bất động sản</t>
  </si>
  <si>
    <t>Hoạt động chuyên môn và khoa học công nghệ</t>
  </si>
  <si>
    <t>Hoạt động hành chính và dịch vụ hỗ trợ</t>
  </si>
  <si>
    <t>Hoạt động của Đảng cộng sản, tổ chức chính trị - xã hội; quản lý Nhà nước, an ninh quốc phòng; đảm bảo xã hội bắt buộc</t>
  </si>
  <si>
    <t>Giáo dục và đào tạo</t>
  </si>
  <si>
    <t xml:space="preserve">Y tế và hoạt động trợ giúp xã hội </t>
  </si>
  <si>
    <t>Nghệ thuật, vui chơi và giải trí</t>
  </si>
  <si>
    <t>Hoạt động khác</t>
  </si>
  <si>
    <t>Hoàn trả tạm ứng theo Quyết định 910/QĐ-TTg (phần địa phương)</t>
  </si>
  <si>
    <t>VI</t>
  </si>
  <si>
    <t>Các khoản chưa phân bổ cụ thể</t>
  </si>
  <si>
    <t>Chuẩn bị đầu tư</t>
  </si>
  <si>
    <t>An ninh</t>
  </si>
  <si>
    <t>Quốc phòng</t>
  </si>
  <si>
    <t>Quản lý nhà nước</t>
  </si>
  <si>
    <t>Thông tin</t>
  </si>
  <si>
    <t>Thể thao</t>
  </si>
  <si>
    <t>Văn hóa</t>
  </si>
  <si>
    <t>Tổng VH+TT</t>
  </si>
  <si>
    <t>Văn hoá</t>
  </si>
  <si>
    <t>Xã hội</t>
  </si>
  <si>
    <t>Y tế</t>
  </si>
  <si>
    <t>Y tế - xã hội</t>
  </si>
  <si>
    <t>Tài nguyên và Môi trường</t>
  </si>
  <si>
    <t>qlnn</t>
  </si>
  <si>
    <t>Khoa học, công nghệ và công nghệ thông tin</t>
  </si>
  <si>
    <t>cap nuoc</t>
  </si>
  <si>
    <t>gt</t>
  </si>
  <si>
    <t>Cấp nước và xử lý rác thải, nước thải</t>
  </si>
  <si>
    <t>nn</t>
  </si>
  <si>
    <t>Lĩnh vực xã hội</t>
  </si>
  <si>
    <t>Kho tàng</t>
  </si>
  <si>
    <t>Giao thông vận tải</t>
  </si>
  <si>
    <t>Nông, lâm nghiệp và thủy sản</t>
  </si>
  <si>
    <t>Công nghiệp</t>
  </si>
  <si>
    <t>Lĩnh vực kinh tế</t>
  </si>
  <si>
    <t>- Chi bổ sung dự trữ nhà nước</t>
  </si>
  <si>
    <t>- Vốn điều lệ: Quỹ hợp tác xã</t>
  </si>
  <si>
    <t>- Cho vay chính sách hộ đồng bào dân tộc thiểu số đặc biệt khó khăn, nhà ở cho người nghèo, cho vay hộ đồng bào nghèo vùng Đồng bằng Sông Cửu Long,...</t>
  </si>
  <si>
    <t>- Lợi nhuận để lại đầu tư của Tập đoàn Dầu khí</t>
  </si>
  <si>
    <t>Cho vay giải quyết việc làm</t>
  </si>
  <si>
    <t>- Bù lãi suất tín dụng đầu tư và tín dụng chính sách xã hội</t>
  </si>
  <si>
    <t>- Bổ sung vốn cho các doanh nghiệp công ích và doanh nghiệp của khu kinh tế quốc phòng</t>
  </si>
  <si>
    <t>- Bổ sung các Quỹ xúc tiến thương mại, đầu tư, du lịch và góp vốn cổ phần các tổ chức tài chính quốc tế</t>
  </si>
  <si>
    <t>CÁC KHOẢN CHI CHUNG</t>
  </si>
  <si>
    <t>Phụ lục 17</t>
  </si>
  <si>
    <t>2011-2015</t>
  </si>
  <si>
    <t>Ngành, lĩnh vực</t>
  </si>
  <si>
    <t>Phụ lục 12b</t>
  </si>
  <si>
    <t>Phụ lục 13b</t>
  </si>
  <si>
    <t>Phương án 1</t>
  </si>
  <si>
    <t>Phương án 2</t>
  </si>
  <si>
    <r>
      <t xml:space="preserve">ĐẦU TƯ PHÁT TRIỂN TOÀN XÃ HỘI THEO NGÀNH, LĨNH VỰC GIAI ĐOẠN 2011-2015
</t>
    </r>
    <r>
      <rPr>
        <b/>
        <i/>
        <sz val="14"/>
        <rFont val="Times New Roman"/>
        <family val="1"/>
      </rPr>
      <t>(Phương án 2)</t>
    </r>
  </si>
  <si>
    <t>-</t>
  </si>
  <si>
    <t>Đơn vị: Tỷ đồng (giá thực tế)</t>
  </si>
  <si>
    <r>
      <t xml:space="preserve">ĐẦU TƯ NGUỒN NSNN VÀ TPCP PHÂN THEO NGÀNH, LĨNH VỰC GIAI ĐOẠN 2011-2015
</t>
    </r>
    <r>
      <rPr>
        <b/>
        <i/>
        <sz val="12"/>
        <rFont val="Times New Roman"/>
        <family val="1"/>
      </rPr>
      <t>(Phương án 2)</t>
    </r>
  </si>
  <si>
    <t>Chỉ tiêu</t>
  </si>
  <si>
    <t>Chỉ tiêu kinh tế</t>
  </si>
  <si>
    <t>Chỉ tiêu xã hội</t>
  </si>
  <si>
    <t xml:space="preserve"> % </t>
  </si>
  <si>
    <t>KH 2019</t>
  </si>
  <si>
    <t>Thực hiện
 2011-2015</t>
  </si>
  <si>
    <t>TH 2016</t>
  </si>
  <si>
    <t>TH 2017</t>
  </si>
  <si>
    <t>Ước TH 2018</t>
  </si>
  <si>
    <t>Thực hiện 2016 - 2018</t>
  </si>
  <si>
    <t xml:space="preserve"> TH 6 tháng/2018</t>
  </si>
  <si>
    <t>trđ/ha/năm</t>
  </si>
  <si>
    <t>huyện</t>
  </si>
  <si>
    <t>Mầm non</t>
  </si>
  <si>
    <t>Tiểu học</t>
  </si>
  <si>
    <t>Trung học cơ sở</t>
  </si>
  <si>
    <t>Trung học phổ thông</t>
  </si>
  <si>
    <t>Tỷ lệ gia đình văn hóa</t>
  </si>
  <si>
    <t>Tỷ lệ thôn, tổ dân phố văn hóa</t>
  </si>
  <si>
    <t>Tốc độ tăng trưởng kinh tế GRDP (bình quân cả giai đoạn)</t>
  </si>
  <si>
    <t>Cơ cấu kinh tế (năm cuối kỳ)</t>
  </si>
  <si>
    <t>GRDP bình quân đầu người (năm cuối kỳ)</t>
  </si>
  <si>
    <t>Thu nhập bình quân đầu người (năm cuối kỳ)</t>
  </si>
  <si>
    <t xml:space="preserve">Đơn vị </t>
  </si>
  <si>
    <t>TT</t>
  </si>
  <si>
    <t>Thu nội địa</t>
  </si>
  <si>
    <t>Thuế xuất nhập khẩu</t>
  </si>
  <si>
    <t>triệu đồng</t>
  </si>
  <si>
    <t>Tỷ lệ cơ quan, đơn vị văn hóa</t>
  </si>
  <si>
    <t>Tỷ lệ trường đạt chuẩn quốc gia:</t>
  </si>
  <si>
    <t>Tổng thu ngân sách trên địa bàn (năm cuối kỳ)</t>
  </si>
  <si>
    <t>Tỷ lệ xã đạt chuẩn quốc gia về y tế</t>
  </si>
  <si>
    <t>Tỷ lệ trạm y tế có bác sỹ</t>
  </si>
  <si>
    <t>Số bác sỹ/vạn dân</t>
  </si>
  <si>
    <t>bác sỹ</t>
  </si>
  <si>
    <t>Tỷ lệ tăng dân số tự nhiên</t>
  </si>
  <si>
    <t>Tỷ lệ lao động tham gia BHXH</t>
  </si>
  <si>
    <t>Tỷ lệ bao phủ BHYT</t>
  </si>
  <si>
    <t>Giảm tỷ lệ hộ nghèo hàng năm (chuẩn nghèo đa chiều)</t>
  </si>
  <si>
    <t>Chỉ tiêu môi trường</t>
  </si>
  <si>
    <t>*</t>
  </si>
  <si>
    <t>Tỷ lệ các khu, CCN, TTCN đang hoạt động có hệ thống xử lý nước thải tập trung đạt tiêu chuẩn môi trường</t>
  </si>
  <si>
    <t>Tỷ lệ chất thải rắn đô thị được thu gom</t>
  </si>
  <si>
    <t>Tỷ lệ xử lý chất thải rắn y tế đạt tiêu chuẩn</t>
  </si>
  <si>
    <t>Tỷ lệ dân số thành thị được sử dụng nước sạch</t>
  </si>
  <si>
    <t>Giá trị sản xuất nông nghiệp/đơn vị diện tích</t>
  </si>
  <si>
    <t>+</t>
  </si>
  <si>
    <t>không đạt</t>
  </si>
  <si>
    <t>Dự kiến thực hiện  2016-2020</t>
  </si>
  <si>
    <t>&gt; 46.000</t>
  </si>
  <si>
    <t>&gt; 24.000</t>
  </si>
  <si>
    <t>&gt; 120</t>
  </si>
  <si>
    <t>&gt; 80</t>
  </si>
  <si>
    <t>&gt; 60</t>
  </si>
  <si>
    <t>3 - 4</t>
  </si>
  <si>
    <t>đạt</t>
  </si>
  <si>
    <t>&gt; 85</t>
  </si>
  <si>
    <t>&gt; 65</t>
  </si>
  <si>
    <t>&gt; 90</t>
  </si>
  <si>
    <t>&gt; 70</t>
  </si>
  <si>
    <t>&gt; 50</t>
  </si>
  <si>
    <t>Tỷ lệ lao động tham gia BH thất nghiệp</t>
  </si>
  <si>
    <t>&gt; 35</t>
  </si>
  <si>
    <t>2,5 - 3</t>
  </si>
  <si>
    <t>&gt; 75</t>
  </si>
  <si>
    <t>&gt; 96</t>
  </si>
  <si>
    <t>vượt</t>
  </si>
  <si>
    <t>Chỉ tiêu nông thôn mới</t>
  </si>
  <si>
    <t>Tỷ lệ xã đạt chuẩn nông thôn mới</t>
  </si>
  <si>
    <t>Số huyện đạt chuẩn nông thôn mới</t>
  </si>
  <si>
    <t>&gt; 55</t>
  </si>
  <si>
    <t>&gt; 22</t>
  </si>
  <si>
    <t>&lt; 10</t>
  </si>
  <si>
    <t>&gt; 56</t>
  </si>
  <si>
    <t>&gt; 34</t>
  </si>
  <si>
    <t>4-5</t>
  </si>
  <si>
    <r>
      <t xml:space="preserve"> %</t>
    </r>
    <r>
      <rPr>
        <sz val="10"/>
        <rFont val="Times New Roman"/>
        <family val="1"/>
      </rPr>
      <t>o</t>
    </r>
    <r>
      <rPr>
        <sz val="12"/>
        <rFont val="Times New Roman"/>
        <family val="1"/>
      </rPr>
      <t xml:space="preserve"> </t>
    </r>
  </si>
  <si>
    <t>triệu USD</t>
  </si>
  <si>
    <t>Kim ngạch xuất khẩu của tỉnh (năm cuối kỳ)</t>
  </si>
  <si>
    <t>1,4-1,5</t>
  </si>
  <si>
    <t>Đánh giá thực hiện NQ ĐH XVIII</t>
  </si>
  <si>
    <t>6,75</t>
  </si>
  <si>
    <t>1,38</t>
  </si>
  <si>
    <t>6,69</t>
  </si>
  <si>
    <t>12,06</t>
  </si>
  <si>
    <t>31,17</t>
  </si>
  <si>
    <t>-10,01</t>
  </si>
  <si>
    <t>30,70</t>
  </si>
  <si>
    <t>27,44</t>
  </si>
  <si>
    <t>32,35</t>
  </si>
  <si>
    <t>17,00</t>
  </si>
  <si>
    <t>5,51</t>
  </si>
  <si>
    <t>7,15</t>
  </si>
  <si>
    <t>35,50</t>
  </si>
  <si>
    <t>9,99</t>
  </si>
  <si>
    <t>33,22</t>
  </si>
  <si>
    <t>8,83</t>
  </si>
  <si>
    <t>24,39</t>
  </si>
  <si>
    <t>44,14</t>
  </si>
  <si>
    <t>&gt; 53</t>
  </si>
  <si>
    <t>Tỷ trọng chăn nuôi/giá trị sx nông nghiệp (năm cuối kỳ)</t>
  </si>
  <si>
    <t>19,6</t>
  </si>
  <si>
    <t>21,1</t>
  </si>
  <si>
    <t>16,0</t>
  </si>
  <si>
    <t>52,6</t>
  </si>
  <si>
    <t>&gt;52</t>
  </si>
  <si>
    <t>Tỷ lệ dân số nông thôn được sử dụng nước đạt chuẩn quốc gia</t>
  </si>
  <si>
    <t>39,2</t>
  </si>
  <si>
    <t>&gt;53</t>
  </si>
  <si>
    <t>Dự kiến chỉ tiêu NQ ĐH XIX 2020-2025</t>
  </si>
  <si>
    <t>Chỉ tiêu NQ ĐH XVIII 2016 - 2020</t>
  </si>
  <si>
    <t>&gt;10</t>
  </si>
  <si>
    <t>&lt;9</t>
  </si>
  <si>
    <t>&gt;55</t>
  </si>
  <si>
    <t>&gt;47</t>
  </si>
  <si>
    <t>&gt;9</t>
  </si>
  <si>
    <t>&gt;36</t>
  </si>
  <si>
    <t>&gt; 1,5</t>
  </si>
  <si>
    <t xml:space="preserve">PHỤ LỤC I - DỰ KIẾN THỰC HIỆN CÁC CHỈ TIÊU CHỦ YẾU VỀ KINH TẾ - XÃ HỘI
THEO NGHỊ QUYẾT ĐẠI HỘI ĐẢNG BỘ TỈNH LẦN THỨ XVIII </t>
  </si>
  <si>
    <t>PHỤ LỤC II - BIỂU TỔNG HỢP KẾT QUẢ THỰC HIỆN CÁC CHỈ TIÊU KINH TẾ - XÃ HỘI GIAI ĐOẠN 2015-2019, DỰ KIẾN NĂM 2020 VÀ GIAI ĐOẠN 2021-2030</t>
  </si>
  <si>
    <t>BQ 2016-2020</t>
  </si>
  <si>
    <t>BQ 2021-2025</t>
  </si>
  <si>
    <t>BQ 2026-2030</t>
  </si>
  <si>
    <t>BQ 2021-2030</t>
  </si>
  <si>
    <t>GRDP theo giá so sánh 2010</t>
  </si>
  <si>
    <t>Tỷ đồng</t>
  </si>
  <si>
    <t>Thuế trừ trợ cấp sản phẩm</t>
  </si>
  <si>
    <t>GRDP theo giá hiện hành</t>
  </si>
  <si>
    <t>Hệ số GRDP hh/GRDPss</t>
  </si>
  <si>
    <t xml:space="preserve">Tốc độ tăng trưởng kinh tế GRDP </t>
  </si>
  <si>
    <t xml:space="preserve">Cơ cấu kinh tế </t>
  </si>
  <si>
    <t xml:space="preserve">GRDP bình quân đầu người </t>
  </si>
  <si>
    <t xml:space="preserve">Thu nhập bình quân đầu người </t>
  </si>
  <si>
    <t>triệu đồng/tháng</t>
  </si>
  <si>
    <t>Năng suất lao động</t>
  </si>
  <si>
    <t>Triệu đồng</t>
  </si>
  <si>
    <t xml:space="preserve">Tổng thu ngân sách trên địa bàn </t>
  </si>
  <si>
    <t xml:space="preserve">Tổng mức bán lẻ hàng hóa và doanh thu dịch vụ </t>
  </si>
  <si>
    <t>Lượng khách du lịch</t>
  </si>
  <si>
    <t>Người</t>
  </si>
  <si>
    <t xml:space="preserve">Kim ngạch xuất khẩu của tỉnh </t>
  </si>
  <si>
    <t>Tín dụng huy động</t>
  </si>
  <si>
    <t>Tín dụng cho vay</t>
  </si>
  <si>
    <t>Giá trị sản xuất nông nghiệp/đơn vị diện tích (bao gồm NTTS)</t>
  </si>
  <si>
    <t>Tỷ trọng chăn nuôi/giá trị sx nông nghiệp</t>
  </si>
  <si>
    <t>Tổng vốn đầu tư toàn xã hội</t>
  </si>
  <si>
    <t xml:space="preserve"> - Khu vực Nhà nước</t>
  </si>
  <si>
    <t xml:space="preserve"> - Khu vực ngoài Nhà nước</t>
  </si>
  <si>
    <t xml:space="preserve"> - Khu vực có vốn đầu tư trực tiếp nước ngoài</t>
  </si>
  <si>
    <t>Chỉ tiêu nông thôn mới; đô thị hóa</t>
  </si>
  <si>
    <t>Số xã đạt chuẩn</t>
  </si>
  <si>
    <t>xã</t>
  </si>
  <si>
    <t xml:space="preserve">201 (154 sau nhập xã) </t>
  </si>
  <si>
    <t>Số huyện đạt chuẩn nông thôn mới, thành phố, thị xã hoàn thành xây dựng NTM</t>
  </si>
  <si>
    <t>Tỷ lệ đô thị hóa</t>
  </si>
  <si>
    <t>Diện tích bình quân đầu người sàn/người</t>
  </si>
  <si>
    <r>
      <t>m</t>
    </r>
    <r>
      <rPr>
        <vertAlign val="superscript"/>
        <sz val="9"/>
        <rFont val="Times New Roman"/>
        <family val="1"/>
      </rPr>
      <t>2</t>
    </r>
    <r>
      <rPr>
        <sz val="9"/>
        <rFont val="Times New Roman"/>
        <family val="1"/>
      </rPr>
      <t>/người</t>
    </r>
  </si>
  <si>
    <t xml:space="preserve"> - Đô thị</t>
  </si>
  <si>
    <t xml:space="preserve"> - Nông thôn</t>
  </si>
  <si>
    <t>Quy mô dân số</t>
  </si>
  <si>
    <t>Tốc độ tăng dân số tự nhiên</t>
  </si>
  <si>
    <t>Tỷ lệ học sinh vào đại học, cao đẳng hàng năm/học sinh tốt nghiệp THPT</t>
  </si>
  <si>
    <t>42.5</t>
  </si>
  <si>
    <t>41%</t>
  </si>
  <si>
    <t>Số giường bệnh/1 vạn dân</t>
  </si>
  <si>
    <t>Giường</t>
  </si>
  <si>
    <t>Tỷ lệ trẻ dưới 5 tuổi suy dinh dưỡng thể nhẹ cân</t>
  </si>
  <si>
    <t>Tỷ lệ trẻ dưới 5 tuổi suy dinh dưỡng thể thấp còi</t>
  </si>
  <si>
    <t>- Tỷ lệ LĐ tham gia BHXH so với LLLĐ trong độ tuổi</t>
  </si>
  <si>
    <t>- Tỷ lệ LĐ tham gia BHXH so với LLLĐ trong độ tuổi có khả năng tham gia.</t>
  </si>
  <si>
    <t>- Tỷ lệ LĐ tham gia BHTN so với LLLĐ trong độ tuổi.</t>
  </si>
  <si>
    <t>- Tỷ lệ LĐ tham gia BHTN so với LLLĐ trong độ tuổi có khả năng tham gia</t>
  </si>
  <si>
    <t>Số lao động làm việc trong nền kinh tế</t>
  </si>
  <si>
    <t>Số lao động được giải quyết làm mới</t>
  </si>
  <si>
    <t>Giảm tỷ lệ hộ nghèo hàng năm (chuẩn nghèo đa chiều)/tỷ lệ hộ nghèo</t>
  </si>
  <si>
    <t>Đến năm 2025 giảm xuống dưới 1,5%</t>
  </si>
  <si>
    <t>Tỷ lệ chất thải rắn được thu gom</t>
  </si>
  <si>
    <t>Tỷ lệ dân số nông thôn được sử dụng nước sạch đạt tiêu chuẩn quốc gia</t>
  </si>
  <si>
    <r>
      <t xml:space="preserve">Tỷ lệ trạm y tế có bác sỹ </t>
    </r>
    <r>
      <rPr>
        <sz val="11"/>
        <color rgb="FFFF0000"/>
        <rFont val="Times New Roman"/>
        <family val="1"/>
      </rPr>
      <t>làm việc</t>
    </r>
  </si>
  <si>
    <r>
      <rPr>
        <sz val="13"/>
        <rFont val="Calibri"/>
        <family val="2"/>
      </rPr>
      <t>≥</t>
    </r>
    <r>
      <rPr>
        <sz val="13"/>
        <rFont val="Times New Roman"/>
        <family val="1"/>
        <charset val="163"/>
      </rPr>
      <t>95</t>
    </r>
  </si>
</sst>
</file>

<file path=xl/styles.xml><?xml version="1.0" encoding="utf-8"?>
<styleSheet xmlns="http://schemas.openxmlformats.org/spreadsheetml/2006/main">
  <numFmts count="104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[Red]\-&quot;£&quot;#,##0"/>
    <numFmt numFmtId="165" formatCode="&quot;£&quot;#,##0.00;\-&quot;£&quot;#,##0.00"/>
    <numFmt numFmtId="166" formatCode="_-&quot;£&quot;* #,##0_-;\-&quot;£&quot;* #,##0_-;_-&quot;£&quot;* &quot;-&quot;_-;_-@_-"/>
    <numFmt numFmtId="167" formatCode="_-* #,##0_-;\-* #,##0_-;_-* &quot;-&quot;_-;_-@_-"/>
    <numFmt numFmtId="168" formatCode="_-* #,##0.00_-;\-* #,##0.00_-;_-* &quot;-&quot;??_-;_-@_-"/>
    <numFmt numFmtId="169" formatCode="_-* #,##0\ _₫_-;\-* #,##0\ _₫_-;_-* &quot;-&quot;\ _₫_-;_-@_-"/>
    <numFmt numFmtId="170" formatCode="_-* #,##0.00\ _₫_-;\-* #,##0.00\ _₫_-;_-* &quot;-&quot;??\ _₫_-;_-@_-"/>
    <numFmt numFmtId="171" formatCode="_(* #,##0.0_);_(* \(#,##0.0\);_(* &quot;-&quot;??_);_(@_)"/>
    <numFmt numFmtId="172" formatCode="#,##0.0"/>
    <numFmt numFmtId="173" formatCode="#,##0.000"/>
    <numFmt numFmtId="174" formatCode="0.0"/>
    <numFmt numFmtId="175" formatCode="_(* #,##0_);_(* \(#,##0\);_(* &quot;-&quot;??_);_(@_)"/>
    <numFmt numFmtId="176" formatCode="0.000"/>
    <numFmt numFmtId="177" formatCode="#,##0\ &quot;€&quot;;[Red]\-#,##0\ &quot;€&quot;"/>
    <numFmt numFmtId="178" formatCode="&quot;\&quot;#,##0;[Red]&quot;\&quot;\-#,##0"/>
    <numFmt numFmtId="179" formatCode="&quot;\&quot;#,##0.00;[Red]&quot;\&quot;\-#,##0.00"/>
    <numFmt numFmtId="180" formatCode="\$#,##0\ ;\(\$#,##0\)"/>
    <numFmt numFmtId="181" formatCode="&quot;\&quot;#,##0;[Red]&quot;\&quot;&quot;\&quot;\-#,##0"/>
    <numFmt numFmtId="182" formatCode="_-&quot;€&quot;* #,##0_-;\-&quot;€&quot;* #,##0_-;_-&quot;€&quot;* &quot;-&quot;_-;_-@_-"/>
    <numFmt numFmtId="183" formatCode="_-&quot;€&quot;* #,##0.00_-;\-&quot;€&quot;* #,##0.00_-;_-&quot;€&quot;* &quot;-&quot;??_-;_-@_-"/>
    <numFmt numFmtId="184" formatCode="&quot;VND&quot;#,##0_);[Red]\(&quot;VND&quot;#,##0\)"/>
    <numFmt numFmtId="185" formatCode="#,##0;\(#,##0\)"/>
    <numFmt numFmtId="186" formatCode="\t0.00%"/>
    <numFmt numFmtId="187" formatCode="\t#\ ??/??"/>
    <numFmt numFmtId="188" formatCode="#,##0.00\ &quot;F&quot;;[Red]\-#,##0.00\ &quot;F&quot;"/>
    <numFmt numFmtId="189" formatCode="_-* #,##0\ &quot;F&quot;_-;\-* #,##0\ &quot;F&quot;_-;_-* &quot;-&quot;\ &quot;F&quot;_-;_-@_-"/>
    <numFmt numFmtId="190" formatCode="#,##0\ &quot;F&quot;;[Red]\-#,##0\ &quot;F&quot;"/>
    <numFmt numFmtId="191" formatCode="#,##0.00\ &quot;F&quot;;\-#,##0.00\ &quot;F&quot;"/>
    <numFmt numFmtId="192" formatCode="#,##0.00000000"/>
    <numFmt numFmtId="193" formatCode="_-&quot;ñ&quot;* #,##0_-;\-&quot;ñ&quot;* #,##0_-;_-&quot;ñ&quot;* &quot;-&quot;_-;_-@_-"/>
    <numFmt numFmtId="194" formatCode="00.000"/>
    <numFmt numFmtId="195" formatCode="&quot;?&quot;#,##0;&quot;?&quot;\-#,##0"/>
    <numFmt numFmtId="196" formatCode="#.##00"/>
    <numFmt numFmtId="197" formatCode="_-* #,##0\ _F_-;\-* #,##0\ _F_-;_-* &quot;-&quot;\ _F_-;_-@_-"/>
    <numFmt numFmtId="198" formatCode="_-&quot;$&quot;* #,##0_-;\-&quot;$&quot;* #,##0_-;_-&quot;$&quot;* &quot;-&quot;_-;_-@_-"/>
    <numFmt numFmtId="199" formatCode="_-* #,##0.00\ _F_-;\-* #,##0.00\ _F_-;_-* &quot;-&quot;??\ _F_-;_-@_-"/>
    <numFmt numFmtId="200" formatCode="_-* #,##0.00\ _ñ_-;\-* #,##0.00\ _ñ_-;_-* &quot;-&quot;??\ _ñ_-;_-@_-"/>
    <numFmt numFmtId="201" formatCode="_-* #,##0.00\ _ñ_-;_-* #,##0.00\ _ñ\-;_-* &quot;-&quot;??\ _ñ_-;_-@_-"/>
    <numFmt numFmtId="202" formatCode="_(&quot;$&quot;\ * #,##0_);_(&quot;$&quot;\ * \(#,##0\);_(&quot;$&quot;\ * &quot;-&quot;_);_(@_)"/>
    <numFmt numFmtId="203" formatCode="_-* #,##0\ &quot;ñ&quot;_-;\-* #,##0\ &quot;ñ&quot;_-;_-* &quot;-&quot;\ &quot;ñ&quot;_-;_-@_-"/>
    <numFmt numFmtId="204" formatCode="_-* #,##0\ _ñ_-;\-* #,##0\ _ñ_-;_-* &quot;-&quot;\ _ñ_-;_-@_-"/>
    <numFmt numFmtId="205" formatCode="_-* #,##0\ _ñ_-;_-* #,##0\ _ñ\-;_-* &quot;-&quot;\ _ñ_-;_-@_-"/>
    <numFmt numFmtId="206" formatCode="_ &quot;\&quot;* #,##0_ ;_ &quot;\&quot;* \-#,##0_ ;_ &quot;\&quot;* &quot;-&quot;_ ;_ @_ "/>
    <numFmt numFmtId="207" formatCode="_ * #,##0_)\ &quot;F&quot;_ ;_ * \(#,##0\)\ &quot;F&quot;_ ;_ * &quot;-&quot;_)\ &quot;F&quot;_ ;_ @_ "/>
    <numFmt numFmtId="208" formatCode="_ * #,##0_)\ _$_ ;_ * \(#,##0\)\ _$_ ;_ * &quot;-&quot;_)\ _$_ ;_ @_ "/>
    <numFmt numFmtId="209" formatCode="_-&quot;F&quot;* #,##0_-;\-&quot;F&quot;* #,##0_-;_-&quot;F&quot;* &quot;-&quot;_-;_-@_-"/>
    <numFmt numFmtId="210" formatCode="_ * #,##0_ ;_ * \-#,##0_ ;_ * &quot;-&quot;_ ;_ @_ "/>
    <numFmt numFmtId="211" formatCode="_ * #,##0.00_)&quot;$&quot;_ ;_ * \(#,##0.00\)&quot;$&quot;_ ;_ * &quot;-&quot;??_)&quot;$&quot;_ ;_ @_ "/>
    <numFmt numFmtId="212" formatCode="_ * #,##0.00_ ;_ * \-#,##0.00_ ;_ * &quot;-&quot;??_ ;_ @_ "/>
    <numFmt numFmtId="213" formatCode="_ * #,##0.0_)_$_ ;_ * \(#,##0.0\)_$_ ;_ * &quot;-&quot;??_)_$_ ;_ @_ "/>
    <numFmt numFmtId="214" formatCode=";;"/>
    <numFmt numFmtId="215" formatCode="#,##0.0_);\(#,##0.0\)"/>
    <numFmt numFmtId="216" formatCode="0.0%"/>
    <numFmt numFmtId="217" formatCode="&quot;$&quot;#,##0.00"/>
    <numFmt numFmtId="218" formatCode="_ * #,##0.00_)&quot;£&quot;_ ;_ * \(#,##0.00\)&quot;£&quot;_ ;_ * &quot;-&quot;??_)&quot;£&quot;_ ;_ @_ "/>
    <numFmt numFmtId="219" formatCode="_-&quot;$&quot;* #,##0.00_-;\-&quot;$&quot;* #,##0.00_-;_-&quot;$&quot;* &quot;-&quot;??_-;_-@_-"/>
    <numFmt numFmtId="220" formatCode="0.0%;\(0.0%\)"/>
    <numFmt numFmtId="221" formatCode="_-* #,##0.00\ &quot;F&quot;_-;\-* #,##0.00\ &quot;F&quot;_-;_-* &quot;-&quot;??\ &quot;F&quot;_-;_-@_-"/>
    <numFmt numFmtId="222" formatCode="0.000_)"/>
    <numFmt numFmtId="223" formatCode="_-* #,##0\ _$_-;\-* #,##0\ _$_-;_-* &quot;-&quot;\ _$_-;_-@_-"/>
    <numFmt numFmtId="224" formatCode="_-* #,##0.00\ _$_-;\-* #,##0.00\ _$_-;_-* &quot;-&quot;??\ _$_-;_-@_-"/>
    <numFmt numFmtId="225" formatCode="_-* #,##0.00\ _V_N_D_-;\-* #,##0.00\ _V_N_D_-;_-* &quot;-&quot;??\ _V_N_D_-;_-@_-"/>
    <numFmt numFmtId="226" formatCode="&quot;True&quot;;&quot;True&quot;;&quot;False&quot;"/>
    <numFmt numFmtId="227" formatCode="#,##0\ &quot;þ&quot;;[Red]\-#,##0\ &quot;þ&quot;"/>
    <numFmt numFmtId="228" formatCode="_ &quot;R&quot;\ * #,##0_ ;_ &quot;R&quot;\ * \-#,##0_ ;_ &quot;R&quot;\ * &quot;-&quot;_ ;_ @_ "/>
    <numFmt numFmtId="229" formatCode="_(\§\g\ #,##0_);_(\§\g\ \(#,##0\);_(\§\g\ &quot;-&quot;??_);_(@_)"/>
    <numFmt numFmtId="230" formatCode="_(\§\g\ #,##0_);_(\§\g\ \(#,##0\);_(\§\g\ &quot;-&quot;_);_(@_)"/>
    <numFmt numFmtId="231" formatCode="\§\g#,##0_);\(\§\g#,##0\)"/>
    <numFmt numFmtId="232" formatCode="_-&quot;VND&quot;* #,##0_-;\-&quot;VND&quot;* #,##0_-;_-&quot;VND&quot;* &quot;-&quot;_-;_-@_-"/>
    <numFmt numFmtId="233" formatCode="_(&quot;Rp&quot;* #,##0.00_);_(&quot;Rp&quot;* \(#,##0.00\);_(&quot;Rp&quot;* &quot;-&quot;??_);_(@_)"/>
    <numFmt numFmtId="234" formatCode="#,##0.00\ &quot;FB&quot;;[Red]\-#,##0.00\ &quot;FB&quot;"/>
    <numFmt numFmtId="235" formatCode="#,##0\ &quot;$&quot;;\-#,##0\ &quot;$&quot;"/>
    <numFmt numFmtId="236" formatCode="&quot;$&quot;#,##0;\-&quot;$&quot;#,##0"/>
    <numFmt numFmtId="237" formatCode="_-* #,##0\ _F_B_-;\-* #,##0\ _F_B_-;_-* &quot;-&quot;\ _F_B_-;_-@_-"/>
    <numFmt numFmtId="238" formatCode="#,##0_);\-#,##0_)"/>
    <numFmt numFmtId="239" formatCode="#,###;\-#,###;&quot;&quot;;_(@_)"/>
    <numFmt numFmtId="240" formatCode="#,##0\ &quot;$&quot;_);\(#,##0\ &quot;$&quot;\)"/>
    <numFmt numFmtId="241" formatCode="&quot;Fr.&quot;\ #,##0.00;[Red]&quot;Fr.&quot;\ \-#,##0.00"/>
    <numFmt numFmtId="242" formatCode="_ &quot;Fr.&quot;\ * #,##0_ ;_ &quot;Fr.&quot;\ * \-#,##0_ ;_ &quot;Fr.&quot;\ * &quot;-&quot;_ ;_ @_ "/>
    <numFmt numFmtId="243" formatCode="&quot;\&quot;#,##0;[Red]\-&quot;\&quot;#,##0"/>
    <numFmt numFmtId="244" formatCode="&quot;\&quot;#,##0.00;\-&quot;\&quot;#,##0.00"/>
    <numFmt numFmtId="245" formatCode="#,##0.00_);\-#,##0.00_)"/>
    <numFmt numFmtId="246" formatCode="#,##0.000_);\(#,##0.000\)"/>
    <numFmt numFmtId="247" formatCode="#"/>
    <numFmt numFmtId="248" formatCode="&quot;¡Ì&quot;#,##0;[Red]\-&quot;¡Ì&quot;#,##0"/>
    <numFmt numFmtId="249" formatCode="0.00000000000E+00;\?"/>
    <numFmt numFmtId="250" formatCode="#,##0.00\ \ "/>
    <numFmt numFmtId="251" formatCode="0.00000"/>
    <numFmt numFmtId="252" formatCode="_ * #,##0_ ;_ * \-#,##0_ ;_ * &quot;-&quot;??_ ;_ @_ "/>
    <numFmt numFmtId="253" formatCode="_(* #.##0.00_);_(* \(#.##0.00\);_(* &quot;-&quot;??_);_(@_)"/>
    <numFmt numFmtId="254" formatCode="#,##0.00\ \ \ \ "/>
    <numFmt numFmtId="255" formatCode="&quot;$&quot;#,##0;[Red]\-&quot;$&quot;#,##0"/>
    <numFmt numFmtId="256" formatCode="_ * #.##._ ;_ * \-#.##._ ;_ * &quot;-&quot;??_ ;_ @_ⴆ"/>
    <numFmt numFmtId="257" formatCode="_-* #,##0\ _F_-;\-* #,##0\ _F_-;_-* &quot;-&quot;??\ _F_-;_-@_-"/>
    <numFmt numFmtId="258" formatCode="_-* ###,0&quot;.&quot;00_-;\-* ###,0&quot;.&quot;00_-;_-* &quot;-&quot;??_-;_-@_-"/>
    <numFmt numFmtId="259" formatCode="_-&quot;$&quot;* ###,0&quot;.&quot;00_-;\-&quot;$&quot;* ###,0&quot;.&quot;00_-;_-&quot;$&quot;* &quot;-&quot;??_-;_-@_-"/>
    <numFmt numFmtId="260" formatCode="&quot;\&quot;#,##0;&quot;\&quot;&quot;\&quot;&quot;\&quot;&quot;\&quot;&quot;\&quot;&quot;\&quot;&quot;\&quot;\-#,##0"/>
    <numFmt numFmtId="261" formatCode="_(* #,##0.000_);_(* \(#,##0.000\);_(* &quot;-&quot;??_);_(@_)"/>
  </numFmts>
  <fonts count="23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  <charset val="163"/>
    </font>
    <font>
      <sz val="12"/>
      <color indexed="8"/>
      <name val=".VnTime"/>
      <family val="2"/>
    </font>
    <font>
      <b/>
      <i/>
      <sz val="12"/>
      <color indexed="8"/>
      <name val=".vntime"/>
      <family val="2"/>
    </font>
    <font>
      <b/>
      <sz val="12"/>
      <color indexed="8"/>
      <name val=".VnTimeH"/>
      <family val="2"/>
    </font>
    <font>
      <b/>
      <sz val="11"/>
      <name val=".VnTimeH"/>
      <family val="2"/>
    </font>
    <font>
      <b/>
      <sz val="11"/>
      <name val=".VnTime"/>
      <family val="2"/>
    </font>
    <font>
      <b/>
      <sz val="12"/>
      <name val=".VnTime"/>
      <family val="2"/>
    </font>
    <font>
      <sz val="11"/>
      <name val=".VnTime"/>
      <family val="2"/>
    </font>
    <font>
      <sz val="12"/>
      <name val=".VnTime"/>
      <family val="2"/>
    </font>
    <font>
      <sz val="11"/>
      <name val="Times New Roman"/>
      <family val="1"/>
    </font>
    <font>
      <sz val="11"/>
      <color indexed="8"/>
      <name val=".VnTime"/>
      <family val="2"/>
    </font>
    <font>
      <sz val="12"/>
      <color indexed="8"/>
      <name val=".VnTime"/>
      <family val="2"/>
    </font>
    <font>
      <sz val="8"/>
      <name val="Arial"/>
      <family val="2"/>
      <charset val="163"/>
    </font>
    <font>
      <b/>
      <i/>
      <sz val="14"/>
      <color indexed="8"/>
      <name val=".VnTime"/>
      <family val="2"/>
    </font>
    <font>
      <b/>
      <sz val="12"/>
      <color indexed="8"/>
      <name val=".VnTime"/>
      <family val="2"/>
    </font>
    <font>
      <i/>
      <sz val="12"/>
      <color indexed="8"/>
      <name val=".VnTime"/>
      <family val="2"/>
    </font>
    <font>
      <b/>
      <i/>
      <sz val="16"/>
      <name val="Times New Roman"/>
      <family val="1"/>
    </font>
    <font>
      <b/>
      <sz val="13"/>
      <name val="Times New Roman"/>
      <family val="1"/>
    </font>
    <font>
      <b/>
      <sz val="8"/>
      <color indexed="81"/>
      <name val="Tahoma"/>
      <family val="2"/>
      <charset val="163"/>
    </font>
    <font>
      <sz val="8"/>
      <color indexed="81"/>
      <name val="Tahoma"/>
      <family val="2"/>
      <charset val="163"/>
    </font>
    <font>
      <sz val="10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i/>
      <sz val="11"/>
      <name val=".VnTime"/>
      <family val="2"/>
    </font>
    <font>
      <b/>
      <sz val="13"/>
      <color indexed="8"/>
      <name val=".VnTime"/>
      <family val="2"/>
    </font>
    <font>
      <sz val="13"/>
      <color indexed="8"/>
      <name val=".VnTime"/>
      <family val="2"/>
    </font>
    <font>
      <i/>
      <sz val="13"/>
      <color indexed="8"/>
      <name val=".VnTime"/>
      <family val="2"/>
    </font>
    <font>
      <b/>
      <i/>
      <sz val="13"/>
      <color indexed="8"/>
      <name val=".VnTime"/>
      <family val="2"/>
    </font>
    <font>
      <i/>
      <sz val="11"/>
      <color indexed="8"/>
      <name val=".VnTime"/>
      <family val="2"/>
    </font>
    <font>
      <b/>
      <sz val="10"/>
      <color indexed="8"/>
      <name val=".VnTimeH"/>
      <family val="2"/>
    </font>
    <font>
      <vertAlign val="superscript"/>
      <sz val="12"/>
      <name val="Times New Roman"/>
      <family val="1"/>
    </font>
    <font>
      <b/>
      <sz val="10"/>
      <color indexed="8"/>
      <name val=".VnTime"/>
      <family val="2"/>
    </font>
    <font>
      <sz val="10"/>
      <name val="Arial"/>
      <family val="2"/>
      <charset val="163"/>
    </font>
    <font>
      <sz val="13"/>
      <name val="Times New Roman"/>
      <family val="1"/>
    </font>
    <font>
      <sz val="8"/>
      <name val="Times New Roman"/>
      <family val="1"/>
    </font>
    <font>
      <b/>
      <i/>
      <sz val="14"/>
      <name val="Times New Roman"/>
      <family val="1"/>
    </font>
    <font>
      <b/>
      <sz val="15"/>
      <name val="Times New Roman"/>
      <family val="1"/>
    </font>
    <font>
      <b/>
      <i/>
      <sz val="13"/>
      <name val="Times New Roman"/>
      <family val="1"/>
    </font>
    <font>
      <b/>
      <u/>
      <sz val="13"/>
      <name val="Times New Roman"/>
      <family val="1"/>
    </font>
    <font>
      <sz val="14"/>
      <name val=".VnTimeH"/>
      <family val="2"/>
    </font>
    <font>
      <sz val="12"/>
      <name val="¹UAAA¼"/>
      <family val="3"/>
      <charset val="128"/>
    </font>
    <font>
      <sz val="13"/>
      <name val=".VnTime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.VnTime"/>
      <family val="2"/>
    </font>
    <font>
      <b/>
      <sz val="10"/>
      <name val=".VnArial"/>
      <family val="2"/>
    </font>
    <font>
      <b/>
      <sz val="10"/>
      <name val=".VnTime"/>
      <family val="2"/>
    </font>
    <font>
      <sz val="12"/>
      <name val="Arial"/>
      <family val="2"/>
    </font>
    <font>
      <sz val="10"/>
      <name val="VNtimes new roman"/>
      <family val="1"/>
    </font>
    <font>
      <b/>
      <sz val="10"/>
      <name val=".VnTimeH"/>
      <family val="2"/>
    </font>
    <font>
      <sz val="14"/>
      <name val=".Vn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9"/>
      <name val="Arial"/>
      <family val="2"/>
    </font>
    <font>
      <sz val="12"/>
      <name val="바탕체"/>
      <family val="1"/>
      <charset val="129"/>
    </font>
    <font>
      <sz val="12"/>
      <name val="Courier"/>
      <family val="3"/>
    </font>
    <font>
      <sz val="10"/>
      <name val=" "/>
      <family val="1"/>
    </font>
    <font>
      <sz val="8"/>
      <name val="Arial"/>
      <family val="2"/>
    </font>
    <font>
      <b/>
      <sz val="10"/>
      <name val="Arial"/>
      <family val="2"/>
      <charset val="163"/>
    </font>
    <font>
      <b/>
      <sz val="10"/>
      <color indexed="10"/>
      <name val="Arial"/>
      <family val="2"/>
      <charset val="163"/>
    </font>
    <font>
      <sz val="15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1"/>
      <name val="Times New Roman"/>
      <family val="1"/>
    </font>
    <font>
      <b/>
      <i/>
      <sz val="12"/>
      <name val="Times New Roman"/>
      <family val="1"/>
    </font>
    <font>
      <sz val="8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4"/>
      <name val="Times New Roman"/>
      <family val="1"/>
    </font>
    <font>
      <i/>
      <sz val="14"/>
      <name val="Times New Roman"/>
      <family val="1"/>
    </font>
    <font>
      <i/>
      <vertAlign val="superscript"/>
      <sz val="12"/>
      <name val="Times New Roman"/>
      <family val="1"/>
    </font>
    <font>
      <sz val="12"/>
      <name val="¹UAAA¼"/>
      <family val="3"/>
      <charset val="129"/>
    </font>
    <font>
      <b/>
      <sz val="18"/>
      <name val="Arial"/>
      <family val="2"/>
    </font>
    <font>
      <sz val="7"/>
      <name val="Small Fonts"/>
      <family val="2"/>
    </font>
    <font>
      <u/>
      <sz val="12"/>
      <name val="Times New Roman"/>
      <family val="1"/>
    </font>
    <font>
      <sz val="13"/>
      <name val="Times New Roman"/>
      <family val="1"/>
      <charset val="163"/>
    </font>
    <font>
      <i/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1"/>
      <name val="Times New Roman"/>
      <family val="1"/>
    </font>
    <font>
      <i/>
      <sz val="12"/>
      <name val="Times New Roman"/>
      <family val="1"/>
      <charset val="163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b/>
      <i/>
      <sz val="13"/>
      <name val="Times New Roman"/>
      <family val="1"/>
      <charset val="163"/>
    </font>
    <font>
      <sz val="12"/>
      <name val="VNI-Times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sz val="11"/>
      <name val="VNI-Times"/>
    </font>
    <font>
      <sz val="12"/>
      <name val="VNtimes new roman"/>
      <family val="2"/>
    </font>
    <font>
      <sz val="10"/>
      <name val=".VnTime"/>
      <family val="2"/>
    </font>
    <font>
      <sz val="11"/>
      <name val="??"/>
      <family val="3"/>
    </font>
    <font>
      <sz val="10"/>
      <name val="?? ??"/>
      <family val="1"/>
      <charset val="136"/>
    </font>
    <font>
      <sz val="10"/>
      <name val="VNI-Times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0"/>
      <name val="AngsanaUPC"/>
      <family val="1"/>
    </font>
    <font>
      <sz val="12"/>
      <name val="|??¢¥¢¬¨Ï"/>
      <family val="1"/>
      <charset val="129"/>
    </font>
    <font>
      <sz val="10"/>
      <name val="Helv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2"/>
      <name val="???"/>
    </font>
    <font>
      <sz val="11"/>
      <name val="‚l‚r ‚oƒSƒVƒbƒN"/>
      <family val="3"/>
      <charset val="128"/>
    </font>
    <font>
      <sz val="11"/>
      <name val="–¾’©"/>
      <family val="1"/>
      <charset val="128"/>
    </font>
    <font>
      <sz val="14"/>
      <name val="Terminal"/>
      <family val="3"/>
      <charset val="128"/>
    </font>
    <font>
      <sz val="14"/>
      <name val="VnTime"/>
    </font>
    <font>
      <b/>
      <u/>
      <sz val="14"/>
      <color indexed="8"/>
      <name val=".VnBook-AntiquaH"/>
      <family val="2"/>
    </font>
    <font>
      <b/>
      <u/>
      <sz val="10"/>
      <name val="VNI-Times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4"/>
      <name val=".VnTime"/>
      <family val="2"/>
    </font>
    <font>
      <sz val="14"/>
      <name val="VNI-Times"/>
    </font>
    <font>
      <b/>
      <sz val="12"/>
      <color indexed="63"/>
      <name val="VNI-Times"/>
    </font>
    <font>
      <sz val="12"/>
      <name val="¹ÙÅÁÃ¼"/>
      <charset val="129"/>
    </font>
    <font>
      <sz val="11"/>
      <color indexed="20"/>
      <name val="Calibri"/>
      <family val="2"/>
    </font>
    <font>
      <sz val="12"/>
      <name val="Tms Rmn"/>
    </font>
    <font>
      <sz val="11"/>
      <name val="µ¸¿ò"/>
      <charset val="129"/>
    </font>
    <font>
      <sz val="10"/>
      <name val="±¼¸²A¼"/>
      <family val="3"/>
      <charset val="129"/>
    </font>
    <font>
      <sz val="12"/>
      <name val="¹ÙÅÁÃ¼"/>
      <family val="1"/>
      <charset val="129"/>
    </font>
    <font>
      <sz val="10"/>
      <name val="Helv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0"/>
      <name val=".VnArial"/>
      <family val="2"/>
    </font>
    <font>
      <sz val="10"/>
      <name val="VNI-Aptima"/>
    </font>
    <font>
      <sz val="11"/>
      <name val="Tms Rmn"/>
    </font>
    <font>
      <sz val="12"/>
      <name val="Times New Roman"/>
      <family val="1"/>
      <charset val="163"/>
    </font>
    <font>
      <sz val="11"/>
      <color indexed="8"/>
      <name val="Arial"/>
      <family val="2"/>
    </font>
    <font>
      <sz val="14"/>
      <color indexed="8"/>
      <name val=".VnTime"/>
      <family val="2"/>
    </font>
    <font>
      <sz val="11"/>
      <name val="UVnTime"/>
      <family val="2"/>
    </font>
    <font>
      <sz val="9"/>
      <name val="Arial"/>
      <family val="2"/>
      <charset val="163"/>
    </font>
    <font>
      <sz val="10"/>
      <name val=".VnArial Narrow"/>
      <family val="2"/>
    </font>
    <font>
      <b/>
      <sz val="12"/>
      <name val="VNTime"/>
      <family val="2"/>
    </font>
    <font>
      <sz val="10"/>
      <name val="MS Serif"/>
      <family val="1"/>
    </font>
    <font>
      <sz val="11"/>
      <name val="VNtimes new roman"/>
      <family val="2"/>
    </font>
    <font>
      <b/>
      <sz val="12"/>
      <name val="VNTimeH"/>
      <family val="2"/>
    </font>
    <font>
      <sz val="10"/>
      <name val="Arial CE"/>
      <charset val="238"/>
    </font>
    <font>
      <sz val="10"/>
      <color indexed="16"/>
      <name val="MS Serif"/>
      <family val="1"/>
    </font>
    <font>
      <sz val="10"/>
      <name val="VNI-Helve-Condense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b/>
      <sz val="14"/>
      <name val=".VnTimeH"/>
      <family val="2"/>
    </font>
    <font>
      <sz val="12"/>
      <name val="±¼¸²Ã¼"/>
      <family val="3"/>
      <charset val="129"/>
    </font>
    <font>
      <sz val="11"/>
      <color indexed="62"/>
      <name val="Calibri"/>
      <family val="2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1"/>
      <color indexed="52"/>
      <name val="Calibri"/>
      <family val="2"/>
    </font>
    <font>
      <sz val="8"/>
      <name val="VNarial"/>
      <family val="2"/>
    </font>
    <font>
      <b/>
      <sz val="11"/>
      <name val="Helv"/>
    </font>
    <font>
      <sz val="11"/>
      <color indexed="60"/>
      <name val="Calibri"/>
      <family val="2"/>
    </font>
    <font>
      <b/>
      <sz val="12"/>
      <name val="VN-NTime"/>
    </font>
    <font>
      <sz val="10"/>
      <name val="VNtimes new roman"/>
      <charset val="134"/>
    </font>
    <font>
      <sz val="11"/>
      <color indexed="8"/>
      <name val="Calibri"/>
      <family val="2"/>
      <charset val="163"/>
    </font>
    <font>
      <sz val="11"/>
      <color indexed="8"/>
      <name val="Helvetica Neue"/>
    </font>
    <font>
      <sz val="11"/>
      <name val="VNI-Aptima"/>
    </font>
    <font>
      <b/>
      <sz val="11"/>
      <name val="Arial"/>
      <family val="2"/>
    </font>
    <font>
      <b/>
      <sz val="11"/>
      <color indexed="63"/>
      <name val="Calibri"/>
      <family val="2"/>
    </font>
    <font>
      <sz val="14"/>
      <name val=".VnArial Narrow"/>
      <family val="2"/>
    </font>
    <font>
      <sz val="12"/>
      <name val="Helv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name val="3C_Times_T"/>
    </font>
    <font>
      <sz val="8"/>
      <name val="MS Sans Serif"/>
      <family val="2"/>
    </font>
    <font>
      <b/>
      <sz val="10.5"/>
      <name val=".VnAvantH"/>
      <family val="2"/>
    </font>
    <font>
      <sz val="10"/>
      <name val="VNbook-Antiqua"/>
    </font>
    <font>
      <sz val="11"/>
      <color indexed="32"/>
      <name val="VNI-Times"/>
    </font>
    <font>
      <b/>
      <sz val="8"/>
      <color indexed="8"/>
      <name val="Helv"/>
    </font>
    <font>
      <sz val="10"/>
      <name val="Symbol"/>
      <family val="1"/>
      <charset val="2"/>
    </font>
    <font>
      <sz val="13"/>
      <name val=".VnArial"/>
      <family val="2"/>
    </font>
    <font>
      <b/>
      <sz val="10"/>
      <name val="VNI-Univer"/>
    </font>
    <font>
      <sz val="10"/>
      <name val=".VnBook-Antiqua"/>
      <family val="2"/>
    </font>
    <font>
      <b/>
      <sz val="12"/>
      <name val="VNI-Times"/>
    </font>
    <font>
      <sz val="12"/>
      <name val="VNTime"/>
    </font>
    <font>
      <sz val="11"/>
      <name val=".VnAvant"/>
      <family val="2"/>
    </font>
    <font>
      <b/>
      <sz val="13"/>
      <color indexed="8"/>
      <name val=".VnTimeH"/>
      <family val="2"/>
    </font>
    <font>
      <b/>
      <u val="double"/>
      <sz val="12"/>
      <color indexed="12"/>
      <name val=".VnBahamasB"/>
      <family val="2"/>
    </font>
    <font>
      <b/>
      <i/>
      <u/>
      <sz val="12"/>
      <name val=".VnTimeH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8"/>
      <color indexed="56"/>
      <name val="Cambria"/>
      <family val="2"/>
    </font>
    <font>
      <b/>
      <sz val="10"/>
      <name val=".VnArialH"/>
      <family val="2"/>
    </font>
    <font>
      <b/>
      <sz val="11"/>
      <color indexed="8"/>
      <name val="Calibri"/>
      <family val="2"/>
    </font>
    <font>
      <sz val="10"/>
      <name val=".VnAvant"/>
      <family val="2"/>
    </font>
    <font>
      <sz val="10"/>
      <name val="VNtimes new roman"/>
      <family val="2"/>
    </font>
    <font>
      <sz val="14"/>
      <name val="VnTime"/>
      <family val="2"/>
    </font>
    <font>
      <b/>
      <sz val="8"/>
      <name val="VN Helvetica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1"/>
      <color indexed="10"/>
      <name val="Calibri"/>
      <family val="2"/>
    </font>
    <font>
      <sz val="10"/>
      <name val="Geneva"/>
      <family val="2"/>
    </font>
    <font>
      <sz val="16"/>
      <name val="AngsanaUPC"/>
      <family val="3"/>
    </font>
    <font>
      <sz val="12"/>
      <color indexed="8"/>
      <name val="바탕체"/>
      <family val="3"/>
    </font>
    <font>
      <sz val="10"/>
      <name val="명조"/>
      <family val="3"/>
      <charset val="129"/>
    </font>
    <font>
      <sz val="10"/>
      <name val="돋움체"/>
      <family val="3"/>
      <charset val="129"/>
    </font>
    <font>
      <b/>
      <sz val="12"/>
      <name val="Times New Roman"/>
      <family val="1"/>
      <charset val="163"/>
    </font>
    <font>
      <b/>
      <sz val="13.5"/>
      <name val="Times New Roman"/>
      <family val="1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163"/>
    </font>
    <font>
      <sz val="11"/>
      <color rgb="FF006100"/>
      <name val="Calibri"/>
      <family val="2"/>
      <charset val="163"/>
    </font>
    <font>
      <sz val="11"/>
      <color rgb="FF9C6500"/>
      <name val="Calibri"/>
      <family val="2"/>
      <charset val="163"/>
    </font>
    <font>
      <sz val="13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i/>
      <sz val="13"/>
      <name val="Times New Roman"/>
      <family val="1"/>
    </font>
    <font>
      <sz val="10"/>
      <name val="Times New Roman"/>
      <family val="1"/>
      <charset val="163"/>
    </font>
    <font>
      <sz val="14"/>
      <name val="Times New Roman"/>
      <family val="1"/>
    </font>
    <font>
      <sz val="12"/>
      <color theme="1"/>
      <name val="Times New Roman"/>
      <family val="2"/>
    </font>
    <font>
      <sz val="11"/>
      <color theme="1"/>
      <name val="Times New Roman"/>
      <family val="1"/>
    </font>
    <font>
      <sz val="9"/>
      <name val="Times New Roman"/>
      <family val="1"/>
    </font>
    <font>
      <vertAlign val="superscript"/>
      <sz val="9"/>
      <name val="Times New Roman"/>
      <family val="1"/>
    </font>
    <font>
      <sz val="11"/>
      <color rgb="FFFF0000"/>
      <name val="Times New Roman"/>
      <family val="1"/>
    </font>
    <font>
      <sz val="13"/>
      <name val="Calibri"/>
      <family val="2"/>
    </font>
  </fonts>
  <fills count="5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084">
    <xf numFmtId="0" fontId="0" fillId="0" borderId="0"/>
    <xf numFmtId="193" fontId="86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87" fillId="0" borderId="0"/>
    <xf numFmtId="3" fontId="88" fillId="0" borderId="1"/>
    <xf numFmtId="0" fontId="89" fillId="0" borderId="0"/>
    <xf numFmtId="175" fontId="90" fillId="0" borderId="2" applyFont="0" applyBorder="0"/>
    <xf numFmtId="0" fontId="91" fillId="0" borderId="0"/>
    <xf numFmtId="194" fontId="92" fillId="0" borderId="0" applyFont="0" applyFill="0" applyBorder="0" applyAlignment="0" applyProtection="0"/>
    <xf numFmtId="0" fontId="93" fillId="0" borderId="0" applyFont="0" applyFill="0" applyBorder="0" applyAlignment="0" applyProtection="0"/>
    <xf numFmtId="195" fontId="92" fillId="0" borderId="0" applyFont="0" applyFill="0" applyBorder="0" applyAlignment="0" applyProtection="0"/>
    <xf numFmtId="181" fontId="45" fillId="0" borderId="0" applyFont="0" applyFill="0" applyBorder="0" applyAlignment="0" applyProtection="0"/>
    <xf numFmtId="189" fontId="94" fillId="0" borderId="0" applyFont="0" applyFill="0" applyBorder="0" applyAlignment="0" applyProtection="0"/>
    <xf numFmtId="189" fontId="94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95" fillId="0" borderId="0" applyFont="0" applyFill="0" applyBorder="0" applyAlignment="0" applyProtection="0"/>
    <xf numFmtId="0" fontId="96" fillId="0" borderId="3"/>
    <xf numFmtId="196" fontId="91" fillId="0" borderId="0" applyFont="0" applyFill="0" applyBorder="0" applyAlignment="0" applyProtection="0"/>
    <xf numFmtId="167" fontId="97" fillId="0" borderId="0" applyFont="0" applyFill="0" applyBorder="0" applyAlignment="0" applyProtection="0"/>
    <xf numFmtId="168" fontId="97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98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99" fillId="0" borderId="0"/>
    <xf numFmtId="0" fontId="4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42" fontId="9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197" fontId="10" fillId="0" borderId="0" applyFont="0" applyFill="0" applyBorder="0" applyAlignment="0" applyProtection="0"/>
    <xf numFmtId="42" fontId="94" fillId="0" borderId="0" applyFont="0" applyFill="0" applyBorder="0" applyAlignment="0" applyProtection="0"/>
    <xf numFmtId="42" fontId="9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42" fontId="9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42" fontId="94" fillId="0" borderId="0" applyFont="0" applyFill="0" applyBorder="0" applyAlignment="0" applyProtection="0"/>
    <xf numFmtId="0" fontId="100" fillId="0" borderId="0"/>
    <xf numFmtId="0" fontId="100" fillId="0" borderId="0"/>
    <xf numFmtId="0" fontId="91" fillId="0" borderId="0" applyNumberFormat="0" applyFill="0" applyBorder="0" applyAlignment="0" applyProtection="0"/>
    <xf numFmtId="0" fontId="100" fillId="0" borderId="0"/>
    <xf numFmtId="42" fontId="94" fillId="0" borderId="0" applyFont="0" applyFill="0" applyBorder="0" applyAlignment="0" applyProtection="0"/>
    <xf numFmtId="42" fontId="94" fillId="0" borderId="0" applyFont="0" applyFill="0" applyBorder="0" applyAlignment="0" applyProtection="0"/>
    <xf numFmtId="42" fontId="9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100" fillId="0" borderId="0"/>
    <xf numFmtId="0" fontId="100" fillId="0" borderId="0"/>
    <xf numFmtId="0" fontId="100" fillId="0" borderId="0"/>
    <xf numFmtId="0" fontId="101" fillId="0" borderId="0" applyFont="0" applyFill="0" applyBorder="0" applyAlignment="0" applyProtection="0"/>
    <xf numFmtId="0" fontId="101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100" fillId="0" borderId="0"/>
    <xf numFmtId="0" fontId="100" fillId="0" borderId="0"/>
    <xf numFmtId="42" fontId="94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6" fillId="0" borderId="0" applyFont="0" applyFill="0" applyBorder="0" applyAlignment="0" applyProtection="0"/>
    <xf numFmtId="193" fontId="86" fillId="0" borderId="0" applyFont="0" applyFill="0" applyBorder="0" applyAlignment="0" applyProtection="0"/>
    <xf numFmtId="168" fontId="86" fillId="0" borderId="0" applyFont="0" applyFill="0" applyBorder="0" applyAlignment="0" applyProtection="0"/>
    <xf numFmtId="199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99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99" fontId="94" fillId="0" borderId="0" applyFont="0" applyFill="0" applyBorder="0" applyAlignment="0" applyProtection="0"/>
    <xf numFmtId="199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99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99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200" fontId="94" fillId="0" borderId="0" applyFont="0" applyFill="0" applyBorder="0" applyAlignment="0" applyProtection="0"/>
    <xf numFmtId="201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67" fontId="86" fillId="0" borderId="0" applyFont="0" applyFill="0" applyBorder="0" applyAlignment="0" applyProtection="0"/>
    <xf numFmtId="42" fontId="94" fillId="0" borderId="0" applyFont="0" applyFill="0" applyBorder="0" applyAlignment="0" applyProtection="0"/>
    <xf numFmtId="42" fontId="94" fillId="0" borderId="0" applyFont="0" applyFill="0" applyBorder="0" applyAlignment="0" applyProtection="0"/>
    <xf numFmtId="189" fontId="94" fillId="0" borderId="0" applyFont="0" applyFill="0" applyBorder="0" applyAlignment="0" applyProtection="0"/>
    <xf numFmtId="202" fontId="94" fillId="0" borderId="0" applyFont="0" applyFill="0" applyBorder="0" applyAlignment="0" applyProtection="0"/>
    <xf numFmtId="189" fontId="86" fillId="0" borderId="0" applyFont="0" applyFill="0" applyBorder="0" applyAlignment="0" applyProtection="0"/>
    <xf numFmtId="202" fontId="94" fillId="0" borderId="0" applyFont="0" applyFill="0" applyBorder="0" applyAlignment="0" applyProtection="0"/>
    <xf numFmtId="189" fontId="94" fillId="0" borderId="0" applyFont="0" applyFill="0" applyBorder="0" applyAlignment="0" applyProtection="0"/>
    <xf numFmtId="203" fontId="94" fillId="0" borderId="0" applyFont="0" applyFill="0" applyBorder="0" applyAlignment="0" applyProtection="0"/>
    <xf numFmtId="199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99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99" fontId="94" fillId="0" borderId="0" applyFont="0" applyFill="0" applyBorder="0" applyAlignment="0" applyProtection="0"/>
    <xf numFmtId="199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99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99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200" fontId="94" fillId="0" borderId="0" applyFont="0" applyFill="0" applyBorder="0" applyAlignment="0" applyProtection="0"/>
    <xf numFmtId="201" fontId="94" fillId="0" borderId="0" applyFont="0" applyFill="0" applyBorder="0" applyAlignment="0" applyProtection="0"/>
    <xf numFmtId="168" fontId="86" fillId="0" borderId="0" applyFont="0" applyFill="0" applyBorder="0" applyAlignment="0" applyProtection="0"/>
    <xf numFmtId="43" fontId="94" fillId="0" borderId="0" applyFont="0" applyFill="0" applyBorder="0" applyAlignment="0" applyProtection="0"/>
    <xf numFmtId="19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9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97" fontId="94" fillId="0" borderId="0" applyFont="0" applyFill="0" applyBorder="0" applyAlignment="0" applyProtection="0"/>
    <xf numFmtId="197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97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97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204" fontId="94" fillId="0" borderId="0" applyFont="0" applyFill="0" applyBorder="0" applyAlignment="0" applyProtection="0"/>
    <xf numFmtId="205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2" fontId="94" fillId="0" borderId="0" applyFont="0" applyFill="0" applyBorder="0" applyAlignment="0" applyProtection="0"/>
    <xf numFmtId="189" fontId="94" fillId="0" borderId="0" applyFont="0" applyFill="0" applyBorder="0" applyAlignment="0" applyProtection="0"/>
    <xf numFmtId="202" fontId="94" fillId="0" borderId="0" applyFont="0" applyFill="0" applyBorder="0" applyAlignment="0" applyProtection="0"/>
    <xf numFmtId="189" fontId="86" fillId="0" borderId="0" applyFont="0" applyFill="0" applyBorder="0" applyAlignment="0" applyProtection="0"/>
    <xf numFmtId="202" fontId="94" fillId="0" borderId="0" applyFont="0" applyFill="0" applyBorder="0" applyAlignment="0" applyProtection="0"/>
    <xf numFmtId="189" fontId="94" fillId="0" borderId="0" applyFont="0" applyFill="0" applyBorder="0" applyAlignment="0" applyProtection="0"/>
    <xf numFmtId="203" fontId="94" fillId="0" borderId="0" applyFont="0" applyFill="0" applyBorder="0" applyAlignment="0" applyProtection="0"/>
    <xf numFmtId="167" fontId="86" fillId="0" borderId="0" applyFont="0" applyFill="0" applyBorder="0" applyAlignment="0" applyProtection="0"/>
    <xf numFmtId="168" fontId="86" fillId="0" borderId="0" applyFont="0" applyFill="0" applyBorder="0" applyAlignment="0" applyProtection="0"/>
    <xf numFmtId="19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9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97" fontId="94" fillId="0" borderId="0" applyFont="0" applyFill="0" applyBorder="0" applyAlignment="0" applyProtection="0"/>
    <xf numFmtId="197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97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97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204" fontId="94" fillId="0" borderId="0" applyFont="0" applyFill="0" applyBorder="0" applyAlignment="0" applyProtection="0"/>
    <xf numFmtId="205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99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99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99" fontId="94" fillId="0" borderId="0" applyFont="0" applyFill="0" applyBorder="0" applyAlignment="0" applyProtection="0"/>
    <xf numFmtId="199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99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99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200" fontId="94" fillId="0" borderId="0" applyFont="0" applyFill="0" applyBorder="0" applyAlignment="0" applyProtection="0"/>
    <xf numFmtId="201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67" fontId="86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6" fillId="0" borderId="0" applyFont="0" applyFill="0" applyBorder="0" applyAlignment="0" applyProtection="0"/>
    <xf numFmtId="193" fontId="86" fillId="0" borderId="0" applyFont="0" applyFill="0" applyBorder="0" applyAlignment="0" applyProtection="0"/>
    <xf numFmtId="42" fontId="94" fillId="0" borderId="0" applyFont="0" applyFill="0" applyBorder="0" applyAlignment="0" applyProtection="0"/>
    <xf numFmtId="42" fontId="94" fillId="0" borderId="0" applyFont="0" applyFill="0" applyBorder="0" applyAlignment="0" applyProtection="0"/>
    <xf numFmtId="42" fontId="9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189" fontId="94" fillId="0" borderId="0" applyFont="0" applyFill="0" applyBorder="0" applyAlignment="0" applyProtection="0"/>
    <xf numFmtId="202" fontId="94" fillId="0" borderId="0" applyFont="0" applyFill="0" applyBorder="0" applyAlignment="0" applyProtection="0"/>
    <xf numFmtId="189" fontId="86" fillId="0" borderId="0" applyFont="0" applyFill="0" applyBorder="0" applyAlignment="0" applyProtection="0"/>
    <xf numFmtId="202" fontId="94" fillId="0" borderId="0" applyFont="0" applyFill="0" applyBorder="0" applyAlignment="0" applyProtection="0"/>
    <xf numFmtId="189" fontId="9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100" fillId="0" borderId="0"/>
    <xf numFmtId="42" fontId="94" fillId="0" borderId="0" applyFont="0" applyFill="0" applyBorder="0" applyAlignment="0" applyProtection="0"/>
    <xf numFmtId="42" fontId="94" fillId="0" borderId="0" applyFont="0" applyFill="0" applyBorder="0" applyAlignment="0" applyProtection="0"/>
    <xf numFmtId="0" fontId="100" fillId="0" borderId="0"/>
    <xf numFmtId="203" fontId="94" fillId="0" borderId="0" applyFont="0" applyFill="0" applyBorder="0" applyAlignment="0" applyProtection="0"/>
    <xf numFmtId="42" fontId="94" fillId="0" borderId="0" applyFont="0" applyFill="0" applyBorder="0" applyAlignment="0" applyProtection="0"/>
    <xf numFmtId="42" fontId="94" fillId="0" borderId="0" applyFont="0" applyFill="0" applyBorder="0" applyAlignment="0" applyProtection="0"/>
    <xf numFmtId="167" fontId="86" fillId="0" borderId="0" applyFont="0" applyFill="0" applyBorder="0" applyAlignment="0" applyProtection="0"/>
    <xf numFmtId="19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9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97" fontId="94" fillId="0" borderId="0" applyFont="0" applyFill="0" applyBorder="0" applyAlignment="0" applyProtection="0"/>
    <xf numFmtId="197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97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97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204" fontId="94" fillId="0" borderId="0" applyFont="0" applyFill="0" applyBorder="0" applyAlignment="0" applyProtection="0"/>
    <xf numFmtId="205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99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99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99" fontId="94" fillId="0" borderId="0" applyFont="0" applyFill="0" applyBorder="0" applyAlignment="0" applyProtection="0"/>
    <xf numFmtId="199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99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99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200" fontId="94" fillId="0" borderId="0" applyFont="0" applyFill="0" applyBorder="0" applyAlignment="0" applyProtection="0"/>
    <xf numFmtId="201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98" fontId="86" fillId="0" borderId="0" applyFont="0" applyFill="0" applyBorder="0" applyAlignment="0" applyProtection="0"/>
    <xf numFmtId="198" fontId="86" fillId="0" borderId="0" applyFont="0" applyFill="0" applyBorder="0" applyAlignment="0" applyProtection="0"/>
    <xf numFmtId="193" fontId="86" fillId="0" borderId="0" applyFont="0" applyFill="0" applyBorder="0" applyAlignment="0" applyProtection="0"/>
    <xf numFmtId="168" fontId="86" fillId="0" borderId="0" applyFont="0" applyFill="0" applyBorder="0" applyAlignment="0" applyProtection="0"/>
    <xf numFmtId="42" fontId="9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42" fontId="94" fillId="0" borderId="0" applyFont="0" applyFill="0" applyBorder="0" applyAlignment="0" applyProtection="0"/>
    <xf numFmtId="0" fontId="102" fillId="0" borderId="0">
      <alignment vertical="top"/>
    </xf>
    <xf numFmtId="0" fontId="102" fillId="0" borderId="0">
      <alignment vertical="top"/>
    </xf>
    <xf numFmtId="0" fontId="102" fillId="0" borderId="0">
      <alignment vertical="top"/>
    </xf>
    <xf numFmtId="0" fontId="91" fillId="0" borderId="0" applyNumberFormat="0" applyFill="0" applyBorder="0" applyAlignment="0" applyProtection="0"/>
    <xf numFmtId="0" fontId="100" fillId="0" borderId="0"/>
    <xf numFmtId="0" fontId="100" fillId="0" borderId="0"/>
    <xf numFmtId="206" fontId="103" fillId="0" borderId="0" applyFont="0" applyFill="0" applyBorder="0" applyAlignment="0" applyProtection="0"/>
    <xf numFmtId="179" fontId="104" fillId="0" borderId="0" applyFont="0" applyFill="0" applyBorder="0" applyAlignment="0" applyProtection="0"/>
    <xf numFmtId="178" fontId="104" fillId="0" borderId="0" applyFont="0" applyFill="0" applyBorder="0" applyAlignment="0" applyProtection="0"/>
    <xf numFmtId="0" fontId="105" fillId="0" borderId="0"/>
    <xf numFmtId="0" fontId="105" fillId="0" borderId="0"/>
    <xf numFmtId="0" fontId="106" fillId="0" borderId="0"/>
    <xf numFmtId="0" fontId="22" fillId="0" borderId="0"/>
    <xf numFmtId="1" fontId="107" fillId="0" borderId="1" applyBorder="0" applyAlignment="0">
      <alignment horizontal="center"/>
    </xf>
    <xf numFmtId="0" fontId="45" fillId="0" borderId="0"/>
    <xf numFmtId="3" fontId="88" fillId="0" borderId="1"/>
    <xf numFmtId="3" fontId="88" fillId="0" borderId="1"/>
    <xf numFmtId="0" fontId="108" fillId="2" borderId="0"/>
    <xf numFmtId="206" fontId="103" fillId="0" borderId="0" applyFont="0" applyFill="0" applyBorder="0" applyAlignment="0" applyProtection="0"/>
    <xf numFmtId="0" fontId="108" fillId="2" borderId="0"/>
    <xf numFmtId="0" fontId="108" fillId="2" borderId="0"/>
    <xf numFmtId="0" fontId="9" fillId="2" borderId="0"/>
    <xf numFmtId="0" fontId="9" fillId="2" borderId="0"/>
    <xf numFmtId="206" fontId="103" fillId="0" borderId="0" applyFont="0" applyFill="0" applyBorder="0" applyAlignment="0" applyProtection="0"/>
    <xf numFmtId="0" fontId="9" fillId="2" borderId="0"/>
    <xf numFmtId="0" fontId="9" fillId="2" borderId="0"/>
    <xf numFmtId="0" fontId="109" fillId="0" borderId="0" applyFont="0" applyFill="0" applyBorder="0" applyAlignment="0">
      <alignment horizontal="left"/>
    </xf>
    <xf numFmtId="0" fontId="109" fillId="0" borderId="0" applyFont="0" applyFill="0" applyBorder="0" applyAlignment="0">
      <alignment horizontal="left"/>
    </xf>
    <xf numFmtId="0" fontId="9" fillId="2" borderId="0"/>
    <xf numFmtId="206" fontId="103" fillId="0" borderId="0" applyFont="0" applyFill="0" applyBorder="0" applyAlignment="0" applyProtection="0"/>
    <xf numFmtId="0" fontId="108" fillId="2" borderId="0"/>
    <xf numFmtId="0" fontId="108" fillId="2" borderId="0"/>
    <xf numFmtId="0" fontId="48" fillId="0" borderId="1" applyNumberFormat="0" applyFont="0" applyBorder="0">
      <alignment horizontal="left" indent="2"/>
    </xf>
    <xf numFmtId="0" fontId="109" fillId="0" borderId="0" applyFont="0" applyFill="0" applyBorder="0" applyAlignment="0">
      <alignment horizontal="left"/>
    </xf>
    <xf numFmtId="0" fontId="109" fillId="0" borderId="0" applyFont="0" applyFill="0" applyBorder="0" applyAlignment="0">
      <alignment horizontal="left"/>
    </xf>
    <xf numFmtId="0" fontId="110" fillId="3" borderId="4" applyFont="0" applyFill="0" applyAlignment="0">
      <alignment vertical="center" wrapText="1"/>
    </xf>
    <xf numFmtId="9" fontId="111" fillId="0" borderId="0" applyBorder="0" applyAlignment="0" applyProtection="0"/>
    <xf numFmtId="0" fontId="112" fillId="2" borderId="0"/>
    <xf numFmtId="0" fontId="112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112" fillId="2" borderId="0"/>
    <xf numFmtId="0" fontId="112" fillId="2" borderId="0"/>
    <xf numFmtId="0" fontId="48" fillId="0" borderId="1" applyNumberFormat="0" applyFont="0" applyBorder="0" applyAlignment="0">
      <alignment horizontal="center"/>
    </xf>
    <xf numFmtId="0" fontId="113" fillId="4" borderId="0" applyNumberFormat="0" applyBorder="0" applyAlignment="0" applyProtection="0"/>
    <xf numFmtId="0" fontId="113" fillId="5" borderId="0" applyNumberFormat="0" applyBorder="0" applyAlignment="0" applyProtection="0"/>
    <xf numFmtId="0" fontId="113" fillId="6" borderId="0" applyNumberFormat="0" applyBorder="0" applyAlignment="0" applyProtection="0"/>
    <xf numFmtId="0" fontId="113" fillId="7" borderId="0" applyNumberFormat="0" applyBorder="0" applyAlignment="0" applyProtection="0"/>
    <xf numFmtId="0" fontId="113" fillId="8" borderId="0" applyNumberFormat="0" applyBorder="0" applyAlignment="0" applyProtection="0"/>
    <xf numFmtId="0" fontId="113" fillId="9" borderId="0" applyNumberFormat="0" applyBorder="0" applyAlignment="0" applyProtection="0"/>
    <xf numFmtId="0" fontId="45" fillId="0" borderId="0"/>
    <xf numFmtId="0" fontId="114" fillId="2" borderId="0"/>
    <xf numFmtId="0" fontId="114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114" fillId="2" borderId="0"/>
    <xf numFmtId="0" fontId="115" fillId="0" borderId="0">
      <alignment wrapText="1"/>
    </xf>
    <xf numFmtId="0" fontId="115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115" fillId="0" borderId="0">
      <alignment wrapText="1"/>
    </xf>
    <xf numFmtId="0" fontId="113" fillId="10" borderId="0" applyNumberFormat="0" applyBorder="0" applyAlignment="0" applyProtection="0"/>
    <xf numFmtId="0" fontId="113" fillId="11" borderId="0" applyNumberFormat="0" applyBorder="0" applyAlignment="0" applyProtection="0"/>
    <xf numFmtId="0" fontId="113" fillId="12" borderId="0" applyNumberFormat="0" applyBorder="0" applyAlignment="0" applyProtection="0"/>
    <xf numFmtId="0" fontId="113" fillId="7" borderId="0" applyNumberFormat="0" applyBorder="0" applyAlignment="0" applyProtection="0"/>
    <xf numFmtId="0" fontId="113" fillId="10" borderId="0" applyNumberFormat="0" applyBorder="0" applyAlignment="0" applyProtection="0"/>
    <xf numFmtId="0" fontId="113" fillId="13" borderId="0" applyNumberFormat="0" applyBorder="0" applyAlignment="0" applyProtection="0"/>
    <xf numFmtId="175" fontId="42" fillId="0" borderId="5" applyNumberFormat="0" applyFont="0" applyBorder="0" applyAlignment="0">
      <alignment horizontal="center" vertical="center"/>
    </xf>
    <xf numFmtId="0" fontId="91" fillId="0" borderId="0"/>
    <xf numFmtId="0" fontId="91" fillId="0" borderId="0"/>
    <xf numFmtId="0" fontId="91" fillId="0" borderId="0"/>
    <xf numFmtId="0" fontId="116" fillId="14" borderId="0" applyNumberFormat="0" applyBorder="0" applyAlignment="0" applyProtection="0"/>
    <xf numFmtId="0" fontId="116" fillId="11" borderId="0" applyNumberFormat="0" applyBorder="0" applyAlignment="0" applyProtection="0"/>
    <xf numFmtId="0" fontId="116" fillId="12" borderId="0" applyNumberFormat="0" applyBorder="0" applyAlignment="0" applyProtection="0"/>
    <xf numFmtId="0" fontId="116" fillId="15" borderId="0" applyNumberFormat="0" applyBorder="0" applyAlignment="0" applyProtection="0"/>
    <xf numFmtId="0" fontId="116" fillId="16" borderId="0" applyNumberFormat="0" applyBorder="0" applyAlignment="0" applyProtection="0"/>
    <xf numFmtId="0" fontId="116" fillId="17" borderId="0" applyNumberFormat="0" applyBorder="0" applyAlignment="0" applyProtection="0"/>
    <xf numFmtId="0" fontId="117" fillId="0" borderId="0"/>
    <xf numFmtId="0" fontId="116" fillId="18" borderId="0" applyNumberFormat="0" applyBorder="0" applyAlignment="0" applyProtection="0"/>
    <xf numFmtId="0" fontId="116" fillId="19" borderId="0" applyNumberFormat="0" applyBorder="0" applyAlignment="0" applyProtection="0"/>
    <xf numFmtId="0" fontId="116" fillId="20" borderId="0" applyNumberFormat="0" applyBorder="0" applyAlignment="0" applyProtection="0"/>
    <xf numFmtId="0" fontId="116" fillId="15" borderId="0" applyNumberFormat="0" applyBorder="0" applyAlignment="0" applyProtection="0"/>
    <xf numFmtId="0" fontId="116" fillId="16" borderId="0" applyNumberFormat="0" applyBorder="0" applyAlignment="0" applyProtection="0"/>
    <xf numFmtId="0" fontId="116" fillId="21" borderId="0" applyNumberFormat="0" applyBorder="0" applyAlignment="0" applyProtection="0"/>
    <xf numFmtId="207" fontId="118" fillId="0" borderId="0" applyFont="0" applyFill="0" applyBorder="0" applyAlignment="0" applyProtection="0"/>
    <xf numFmtId="0" fontId="74" fillId="0" borderId="0" applyFont="0" applyFill="0" applyBorder="0" applyAlignment="0" applyProtection="0"/>
    <xf numFmtId="165" fontId="89" fillId="0" borderId="0" applyFont="0" applyFill="0" applyBorder="0" applyAlignment="0" applyProtection="0"/>
    <xf numFmtId="208" fontId="118" fillId="0" borderId="0" applyFont="0" applyFill="0" applyBorder="0" applyAlignment="0" applyProtection="0"/>
    <xf numFmtId="0" fontId="74" fillId="0" borderId="0" applyFont="0" applyFill="0" applyBorder="0" applyAlignment="0" applyProtection="0"/>
    <xf numFmtId="209" fontId="118" fillId="0" borderId="0" applyFont="0" applyFill="0" applyBorder="0" applyAlignment="0" applyProtection="0"/>
    <xf numFmtId="0" fontId="37" fillId="0" borderId="0">
      <alignment horizontal="center" wrapText="1"/>
      <protection locked="0"/>
    </xf>
    <xf numFmtId="0" fontId="119" fillId="0" borderId="0" applyNumberFormat="0" applyBorder="0" applyAlignment="0">
      <alignment horizontal="center"/>
    </xf>
    <xf numFmtId="210" fontId="120" fillId="0" borderId="0" applyFont="0" applyFill="0" applyBorder="0" applyAlignment="0" applyProtection="0"/>
    <xf numFmtId="0" fontId="43" fillId="0" borderId="0" applyFont="0" applyFill="0" applyBorder="0" applyAlignment="0" applyProtection="0"/>
    <xf numFmtId="211" fontId="94" fillId="0" borderId="0" applyFont="0" applyFill="0" applyBorder="0" applyAlignment="0" applyProtection="0"/>
    <xf numFmtId="212" fontId="120" fillId="0" borderId="0" applyFont="0" applyFill="0" applyBorder="0" applyAlignment="0" applyProtection="0"/>
    <xf numFmtId="0" fontId="43" fillId="0" borderId="0" applyFont="0" applyFill="0" applyBorder="0" applyAlignment="0" applyProtection="0"/>
    <xf numFmtId="213" fontId="94" fillId="0" borderId="0" applyFont="0" applyFill="0" applyBorder="0" applyAlignment="0" applyProtection="0"/>
    <xf numFmtId="198" fontId="86" fillId="0" borderId="0" applyFont="0" applyFill="0" applyBorder="0" applyAlignment="0" applyProtection="0"/>
    <xf numFmtId="0" fontId="223" fillId="49" borderId="0" applyNumberFormat="0" applyBorder="0" applyAlignment="0" applyProtection="0"/>
    <xf numFmtId="0" fontId="121" fillId="5" borderId="0" applyNumberFormat="0" applyBorder="0" applyAlignment="0" applyProtection="0"/>
    <xf numFmtId="0" fontId="122" fillId="0" borderId="0" applyNumberFormat="0" applyFill="0" applyBorder="0" applyAlignment="0" applyProtection="0"/>
    <xf numFmtId="0" fontId="43" fillId="0" borderId="0"/>
    <xf numFmtId="0" fontId="44" fillId="0" borderId="0"/>
    <xf numFmtId="0" fontId="22" fillId="0" borderId="0"/>
    <xf numFmtId="0" fontId="43" fillId="0" borderId="0"/>
    <xf numFmtId="0" fontId="123" fillId="0" borderId="0"/>
    <xf numFmtId="0" fontId="124" fillId="0" borderId="0"/>
    <xf numFmtId="0" fontId="125" fillId="0" borderId="0"/>
    <xf numFmtId="214" fontId="101" fillId="0" borderId="0" applyFill="0" applyBorder="0" applyAlignment="0"/>
    <xf numFmtId="215" fontId="126" fillId="0" borderId="0" applyFill="0" applyBorder="0" applyAlignment="0"/>
    <xf numFmtId="216" fontId="45" fillId="0" borderId="0" applyFill="0" applyBorder="0" applyAlignment="0"/>
    <xf numFmtId="217" fontId="45" fillId="0" borderId="0" applyFill="0" applyBorder="0" applyAlignment="0"/>
    <xf numFmtId="218" fontId="45" fillId="0" borderId="0" applyFill="0" applyBorder="0" applyAlignment="0"/>
    <xf numFmtId="219" fontId="126" fillId="0" borderId="0" applyFill="0" applyBorder="0" applyAlignment="0"/>
    <xf numFmtId="220" fontId="126" fillId="0" borderId="0" applyFill="0" applyBorder="0" applyAlignment="0"/>
    <xf numFmtId="215" fontId="126" fillId="0" borderId="0" applyFill="0" applyBorder="0" applyAlignment="0"/>
    <xf numFmtId="0" fontId="127" fillId="22" borderId="6" applyNumberFormat="0" applyAlignment="0" applyProtection="0"/>
    <xf numFmtId="0" fontId="128" fillId="0" borderId="0"/>
    <xf numFmtId="221" fontId="94" fillId="0" borderId="0" applyFont="0" applyFill="0" applyBorder="0" applyAlignment="0" applyProtection="0"/>
    <xf numFmtId="0" fontId="129" fillId="23" borderId="7" applyNumberFormat="0" applyAlignment="0" applyProtection="0"/>
    <xf numFmtId="175" fontId="130" fillId="0" borderId="0" applyFont="0" applyFill="0" applyBorder="0" applyAlignment="0" applyProtection="0"/>
    <xf numFmtId="1" fontId="131" fillId="0" borderId="8" applyBorder="0"/>
    <xf numFmtId="43" fontId="2" fillId="0" borderId="0" applyFont="0" applyFill="0" applyBorder="0" applyAlignment="0" applyProtection="0"/>
    <xf numFmtId="222" fontId="132" fillId="0" borderId="0"/>
    <xf numFmtId="222" fontId="132" fillId="0" borderId="0"/>
    <xf numFmtId="222" fontId="132" fillId="0" borderId="0"/>
    <xf numFmtId="222" fontId="132" fillId="0" borderId="0"/>
    <xf numFmtId="222" fontId="132" fillId="0" borderId="0"/>
    <xf numFmtId="222" fontId="132" fillId="0" borderId="0"/>
    <xf numFmtId="222" fontId="132" fillId="0" borderId="0"/>
    <xf numFmtId="222" fontId="132" fillId="0" borderId="0"/>
    <xf numFmtId="223" fontId="45" fillId="0" borderId="0" applyFont="0" applyFill="0" applyBorder="0" applyAlignment="0" applyProtection="0"/>
    <xf numFmtId="41" fontId="113" fillId="0" borderId="0" applyFont="0" applyFill="0" applyBorder="0" applyAlignment="0" applyProtection="0"/>
    <xf numFmtId="41" fontId="133" fillId="0" borderId="0" applyFont="0" applyFill="0" applyBorder="0" applyAlignment="0" applyProtection="0"/>
    <xf numFmtId="219" fontId="126" fillId="0" borderId="0" applyFont="0" applyFill="0" applyBorder="0" applyAlignment="0" applyProtection="0"/>
    <xf numFmtId="43" fontId="134" fillId="0" borderId="0" applyFont="0" applyFill="0" applyBorder="0" applyAlignment="0" applyProtection="0"/>
    <xf numFmtId="224" fontId="45" fillId="0" borderId="0" applyFont="0" applyFill="0" applyBorder="0" applyAlignment="0" applyProtection="0"/>
    <xf numFmtId="43" fontId="13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136" fillId="0" borderId="0" applyFont="0" applyFill="0" applyBorder="0" applyAlignment="0" applyProtection="0"/>
    <xf numFmtId="225" fontId="45" fillId="0" borderId="0" applyFont="0" applyFill="0" applyBorder="0" applyAlignment="0" applyProtection="0"/>
    <xf numFmtId="43" fontId="137" fillId="0" borderId="0" applyFont="0" applyFill="0" applyBorder="0" applyAlignment="0" applyProtection="0"/>
    <xf numFmtId="43" fontId="83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170" fontId="83" fillId="0" borderId="0" applyFont="0" applyFill="0" applyBorder="0" applyAlignment="0" applyProtection="0"/>
    <xf numFmtId="175" fontId="84" fillId="0" borderId="0" applyFont="0" applyFill="0" applyBorder="0" applyAlignment="0" applyProtection="0"/>
    <xf numFmtId="43" fontId="45" fillId="0" borderId="0" applyFont="0" applyFill="0" applyBorder="0" applyAlignment="0" applyProtection="0"/>
    <xf numFmtId="226" fontId="45" fillId="0" borderId="0" applyFont="0" applyFill="0" applyBorder="0" applyAlignment="0" applyProtection="0"/>
    <xf numFmtId="168" fontId="138" fillId="0" borderId="0" applyFont="0" applyFill="0" applyBorder="0" applyAlignment="0" applyProtection="0"/>
    <xf numFmtId="227" fontId="10" fillId="0" borderId="0" applyFont="0" applyFill="0" applyBorder="0" applyAlignment="0" applyProtection="0"/>
    <xf numFmtId="212" fontId="10" fillId="0" borderId="0" applyFont="0" applyFill="0" applyBorder="0" applyAlignment="0" applyProtection="0"/>
    <xf numFmtId="212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27" fontId="10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7" fontId="10" fillId="0" borderId="0" applyFont="0" applyFill="0" applyBorder="0" applyAlignment="0" applyProtection="0"/>
    <xf numFmtId="43" fontId="45" fillId="0" borderId="0" applyFont="0" applyFill="0" applyBorder="0" applyAlignment="0" applyProtection="0"/>
    <xf numFmtId="212" fontId="1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38" fillId="0" borderId="0" applyFont="0" applyFill="0" applyBorder="0" applyAlignment="0" applyProtection="0"/>
    <xf numFmtId="43" fontId="24" fillId="0" borderId="0" applyFont="0" applyFill="0" applyBorder="0" applyAlignment="0" applyProtection="0"/>
    <xf numFmtId="185" fontId="22" fillId="0" borderId="0"/>
    <xf numFmtId="43" fontId="56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0" fontId="139" fillId="0" borderId="0">
      <alignment horizontal="center"/>
    </xf>
    <xf numFmtId="0" fontId="140" fillId="0" borderId="0" applyNumberFormat="0" applyAlignment="0">
      <alignment horizontal="left"/>
    </xf>
    <xf numFmtId="199" fontId="141" fillId="0" borderId="0" applyFont="0" applyFill="0" applyBorder="0" applyAlignment="0" applyProtection="0"/>
    <xf numFmtId="228" fontId="44" fillId="0" borderId="0" applyFont="0" applyFill="0" applyBorder="0" applyAlignment="0" applyProtection="0"/>
    <xf numFmtId="215" fontId="126" fillId="0" borderId="0" applyFont="0" applyFill="0" applyBorder="0" applyAlignment="0" applyProtection="0"/>
    <xf numFmtId="180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186" fontId="45" fillId="0" borderId="0"/>
    <xf numFmtId="176" fontId="10" fillId="0" borderId="9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4" fontId="102" fillId="0" borderId="0" applyFill="0" applyBorder="0" applyAlignment="0"/>
    <xf numFmtId="0" fontId="50" fillId="0" borderId="0" applyProtection="0"/>
    <xf numFmtId="3" fontId="142" fillId="0" borderId="10">
      <alignment horizontal="left" vertical="top" wrapText="1"/>
    </xf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229" fontId="10" fillId="0" borderId="0"/>
    <xf numFmtId="230" fontId="91" fillId="0" borderId="1"/>
    <xf numFmtId="187" fontId="45" fillId="0" borderId="0"/>
    <xf numFmtId="231" fontId="91" fillId="0" borderId="0"/>
    <xf numFmtId="167" fontId="143" fillId="0" borderId="0" applyFont="0" applyFill="0" applyBorder="0" applyAlignment="0" applyProtection="0"/>
    <xf numFmtId="168" fontId="143" fillId="0" borderId="0" applyFont="0" applyFill="0" applyBorder="0" applyAlignment="0" applyProtection="0"/>
    <xf numFmtId="167" fontId="143" fillId="0" borderId="0" applyFont="0" applyFill="0" applyBorder="0" applyAlignment="0" applyProtection="0"/>
    <xf numFmtId="41" fontId="143" fillId="0" borderId="0" applyFont="0" applyFill="0" applyBorder="0" applyAlignment="0" applyProtection="0"/>
    <xf numFmtId="232" fontId="45" fillId="0" borderId="0" applyFont="0" applyFill="0" applyBorder="0" applyAlignment="0" applyProtection="0"/>
    <xf numFmtId="232" fontId="45" fillId="0" borderId="0" applyFont="0" applyFill="0" applyBorder="0" applyAlignment="0" applyProtection="0"/>
    <xf numFmtId="232" fontId="45" fillId="0" borderId="0" applyFont="0" applyFill="0" applyBorder="0" applyAlignment="0" applyProtection="0"/>
    <xf numFmtId="232" fontId="45" fillId="0" borderId="0" applyFont="0" applyFill="0" applyBorder="0" applyAlignment="0" applyProtection="0"/>
    <xf numFmtId="167" fontId="143" fillId="0" borderId="0" applyFont="0" applyFill="0" applyBorder="0" applyAlignment="0" applyProtection="0"/>
    <xf numFmtId="167" fontId="143" fillId="0" borderId="0" applyFont="0" applyFill="0" applyBorder="0" applyAlignment="0" applyProtection="0"/>
    <xf numFmtId="232" fontId="45" fillId="0" borderId="0" applyFont="0" applyFill="0" applyBorder="0" applyAlignment="0" applyProtection="0"/>
    <xf numFmtId="232" fontId="45" fillId="0" borderId="0" applyFont="0" applyFill="0" applyBorder="0" applyAlignment="0" applyProtection="0"/>
    <xf numFmtId="233" fontId="10" fillId="0" borderId="0" applyFont="0" applyFill="0" applyBorder="0" applyAlignment="0" applyProtection="0"/>
    <xf numFmtId="233" fontId="10" fillId="0" borderId="0" applyFont="0" applyFill="0" applyBorder="0" applyAlignment="0" applyProtection="0"/>
    <xf numFmtId="234" fontId="10" fillId="0" borderId="0" applyFont="0" applyFill="0" applyBorder="0" applyAlignment="0" applyProtection="0"/>
    <xf numFmtId="234" fontId="10" fillId="0" borderId="0" applyFont="0" applyFill="0" applyBorder="0" applyAlignment="0" applyProtection="0"/>
    <xf numFmtId="41" fontId="143" fillId="0" borderId="0" applyFont="0" applyFill="0" applyBorder="0" applyAlignment="0" applyProtection="0"/>
    <xf numFmtId="41" fontId="143" fillId="0" borderId="0" applyFont="0" applyFill="0" applyBorder="0" applyAlignment="0" applyProtection="0"/>
    <xf numFmtId="41" fontId="143" fillId="0" borderId="0" applyFont="0" applyFill="0" applyBorder="0" applyAlignment="0" applyProtection="0"/>
    <xf numFmtId="41" fontId="143" fillId="0" borderId="0" applyFont="0" applyFill="0" applyBorder="0" applyAlignment="0" applyProtection="0"/>
    <xf numFmtId="41" fontId="143" fillId="0" borderId="0" applyFont="0" applyFill="0" applyBorder="0" applyAlignment="0" applyProtection="0"/>
    <xf numFmtId="41" fontId="143" fillId="0" borderId="0" applyFont="0" applyFill="0" applyBorder="0" applyAlignment="0" applyProtection="0"/>
    <xf numFmtId="169" fontId="143" fillId="0" borderId="0" applyFont="0" applyFill="0" applyBorder="0" applyAlignment="0" applyProtection="0"/>
    <xf numFmtId="169" fontId="143" fillId="0" borderId="0" applyFont="0" applyFill="0" applyBorder="0" applyAlignment="0" applyProtection="0"/>
    <xf numFmtId="169" fontId="143" fillId="0" borderId="0" applyFont="0" applyFill="0" applyBorder="0" applyAlignment="0" applyProtection="0"/>
    <xf numFmtId="169" fontId="143" fillId="0" borderId="0" applyFont="0" applyFill="0" applyBorder="0" applyAlignment="0" applyProtection="0"/>
    <xf numFmtId="169" fontId="143" fillId="0" borderId="0" applyFont="0" applyFill="0" applyBorder="0" applyAlignment="0" applyProtection="0"/>
    <xf numFmtId="169" fontId="143" fillId="0" borderId="0" applyFont="0" applyFill="0" applyBorder="0" applyAlignment="0" applyProtection="0"/>
    <xf numFmtId="41" fontId="143" fillId="0" borderId="0" applyFont="0" applyFill="0" applyBorder="0" applyAlignment="0" applyProtection="0"/>
    <xf numFmtId="167" fontId="143" fillId="0" borderId="0" applyFont="0" applyFill="0" applyBorder="0" applyAlignment="0" applyProtection="0"/>
    <xf numFmtId="41" fontId="143" fillId="0" borderId="0" applyFont="0" applyFill="0" applyBorder="0" applyAlignment="0" applyProtection="0"/>
    <xf numFmtId="167" fontId="143" fillId="0" borderId="0" applyFont="0" applyFill="0" applyBorder="0" applyAlignment="0" applyProtection="0"/>
    <xf numFmtId="41" fontId="143" fillId="0" borderId="0" applyFont="0" applyFill="0" applyBorder="0" applyAlignment="0" applyProtection="0"/>
    <xf numFmtId="41" fontId="143" fillId="0" borderId="0" applyFont="0" applyFill="0" applyBorder="0" applyAlignment="0" applyProtection="0"/>
    <xf numFmtId="169" fontId="143" fillId="0" borderId="0" applyFont="0" applyFill="0" applyBorder="0" applyAlignment="0" applyProtection="0"/>
    <xf numFmtId="169" fontId="143" fillId="0" borderId="0" applyFont="0" applyFill="0" applyBorder="0" applyAlignment="0" applyProtection="0"/>
    <xf numFmtId="41" fontId="143" fillId="0" borderId="0" applyFont="0" applyFill="0" applyBorder="0" applyAlignment="0" applyProtection="0"/>
    <xf numFmtId="168" fontId="143" fillId="0" borderId="0" applyFont="0" applyFill="0" applyBorder="0" applyAlignment="0" applyProtection="0"/>
    <xf numFmtId="43" fontId="143" fillId="0" borderId="0" applyFont="0" applyFill="0" applyBorder="0" applyAlignment="0" applyProtection="0"/>
    <xf numFmtId="235" fontId="45" fillId="0" borderId="0" applyFont="0" applyFill="0" applyBorder="0" applyAlignment="0" applyProtection="0"/>
    <xf numFmtId="235" fontId="45" fillId="0" borderId="0" applyFont="0" applyFill="0" applyBorder="0" applyAlignment="0" applyProtection="0"/>
    <xf numFmtId="235" fontId="45" fillId="0" borderId="0" applyFont="0" applyFill="0" applyBorder="0" applyAlignment="0" applyProtection="0"/>
    <xf numFmtId="235" fontId="45" fillId="0" borderId="0" applyFont="0" applyFill="0" applyBorder="0" applyAlignment="0" applyProtection="0"/>
    <xf numFmtId="168" fontId="143" fillId="0" borderId="0" applyFont="0" applyFill="0" applyBorder="0" applyAlignment="0" applyProtection="0"/>
    <xf numFmtId="168" fontId="143" fillId="0" borderId="0" applyFont="0" applyFill="0" applyBorder="0" applyAlignment="0" applyProtection="0"/>
    <xf numFmtId="235" fontId="45" fillId="0" borderId="0" applyFont="0" applyFill="0" applyBorder="0" applyAlignment="0" applyProtection="0"/>
    <xf numFmtId="235" fontId="45" fillId="0" borderId="0" applyFont="0" applyFill="0" applyBorder="0" applyAlignment="0" applyProtection="0"/>
    <xf numFmtId="236" fontId="10" fillId="0" borderId="0" applyFont="0" applyFill="0" applyBorder="0" applyAlignment="0" applyProtection="0"/>
    <xf numFmtId="236" fontId="10" fillId="0" borderId="0" applyFont="0" applyFill="0" applyBorder="0" applyAlignment="0" applyProtection="0"/>
    <xf numFmtId="237" fontId="10" fillId="0" borderId="0" applyFont="0" applyFill="0" applyBorder="0" applyAlignment="0" applyProtection="0"/>
    <xf numFmtId="237" fontId="10" fillId="0" borderId="0" applyFont="0" applyFill="0" applyBorder="0" applyAlignment="0" applyProtection="0"/>
    <xf numFmtId="43" fontId="143" fillId="0" borderId="0" applyFont="0" applyFill="0" applyBorder="0" applyAlignment="0" applyProtection="0"/>
    <xf numFmtId="43" fontId="143" fillId="0" borderId="0" applyFont="0" applyFill="0" applyBorder="0" applyAlignment="0" applyProtection="0"/>
    <xf numFmtId="43" fontId="143" fillId="0" borderId="0" applyFont="0" applyFill="0" applyBorder="0" applyAlignment="0" applyProtection="0"/>
    <xf numFmtId="43" fontId="143" fillId="0" borderId="0" applyFont="0" applyFill="0" applyBorder="0" applyAlignment="0" applyProtection="0"/>
    <xf numFmtId="43" fontId="143" fillId="0" borderId="0" applyFont="0" applyFill="0" applyBorder="0" applyAlignment="0" applyProtection="0"/>
    <xf numFmtId="43" fontId="143" fillId="0" borderId="0" applyFont="0" applyFill="0" applyBorder="0" applyAlignment="0" applyProtection="0"/>
    <xf numFmtId="170" fontId="143" fillId="0" borderId="0" applyFont="0" applyFill="0" applyBorder="0" applyAlignment="0" applyProtection="0"/>
    <xf numFmtId="170" fontId="143" fillId="0" borderId="0" applyFont="0" applyFill="0" applyBorder="0" applyAlignment="0" applyProtection="0"/>
    <xf numFmtId="170" fontId="143" fillId="0" borderId="0" applyFont="0" applyFill="0" applyBorder="0" applyAlignment="0" applyProtection="0"/>
    <xf numFmtId="170" fontId="143" fillId="0" borderId="0" applyFont="0" applyFill="0" applyBorder="0" applyAlignment="0" applyProtection="0"/>
    <xf numFmtId="170" fontId="143" fillId="0" borderId="0" applyFont="0" applyFill="0" applyBorder="0" applyAlignment="0" applyProtection="0"/>
    <xf numFmtId="170" fontId="143" fillId="0" borderId="0" applyFont="0" applyFill="0" applyBorder="0" applyAlignment="0" applyProtection="0"/>
    <xf numFmtId="43" fontId="143" fillId="0" borderId="0" applyFont="0" applyFill="0" applyBorder="0" applyAlignment="0" applyProtection="0"/>
    <xf numFmtId="168" fontId="143" fillId="0" borderId="0" applyFont="0" applyFill="0" applyBorder="0" applyAlignment="0" applyProtection="0"/>
    <xf numFmtId="43" fontId="143" fillId="0" borderId="0" applyFont="0" applyFill="0" applyBorder="0" applyAlignment="0" applyProtection="0"/>
    <xf numFmtId="168" fontId="143" fillId="0" borderId="0" applyFont="0" applyFill="0" applyBorder="0" applyAlignment="0" applyProtection="0"/>
    <xf numFmtId="43" fontId="143" fillId="0" borderId="0" applyFont="0" applyFill="0" applyBorder="0" applyAlignment="0" applyProtection="0"/>
    <xf numFmtId="43" fontId="143" fillId="0" borderId="0" applyFont="0" applyFill="0" applyBorder="0" applyAlignment="0" applyProtection="0"/>
    <xf numFmtId="170" fontId="143" fillId="0" borderId="0" applyFont="0" applyFill="0" applyBorder="0" applyAlignment="0" applyProtection="0"/>
    <xf numFmtId="170" fontId="143" fillId="0" borderId="0" applyFont="0" applyFill="0" applyBorder="0" applyAlignment="0" applyProtection="0"/>
    <xf numFmtId="43" fontId="143" fillId="0" borderId="0" applyFont="0" applyFill="0" applyBorder="0" applyAlignment="0" applyProtection="0"/>
    <xf numFmtId="3" fontId="10" fillId="0" borderId="0" applyFont="0" applyBorder="0" applyAlignment="0"/>
    <xf numFmtId="0" fontId="45" fillId="0" borderId="0" applyFill="0" applyBorder="0" applyAlignment="0"/>
    <xf numFmtId="215" fontId="126" fillId="0" borderId="0" applyFill="0" applyBorder="0" applyAlignment="0"/>
    <xf numFmtId="219" fontId="126" fillId="0" borderId="0" applyFill="0" applyBorder="0" applyAlignment="0"/>
    <xf numFmtId="220" fontId="126" fillId="0" borderId="0" applyFill="0" applyBorder="0" applyAlignment="0"/>
    <xf numFmtId="215" fontId="126" fillId="0" borderId="0" applyFill="0" applyBorder="0" applyAlignment="0"/>
    <xf numFmtId="0" fontId="144" fillId="0" borderId="0" applyNumberFormat="0" applyAlignment="0">
      <alignment horizontal="left"/>
    </xf>
    <xf numFmtId="0" fontId="145" fillId="0" borderId="0"/>
    <xf numFmtId="0" fontId="146" fillId="0" borderId="0" applyNumberFormat="0" applyFill="0" applyBorder="0" applyAlignment="0" applyProtection="0"/>
    <xf numFmtId="3" fontId="10" fillId="0" borderId="0" applyFont="0" applyBorder="0" applyAlignment="0"/>
    <xf numFmtId="0" fontId="45" fillId="0" borderId="0"/>
    <xf numFmtId="2" fontId="45" fillId="0" borderId="0" applyFont="0" applyFill="0" applyBorder="0" applyAlignment="0" applyProtection="0"/>
    <xf numFmtId="2" fontId="45" fillId="0" borderId="0" applyFont="0" applyFill="0" applyBorder="0" applyAlignment="0" applyProtection="0"/>
    <xf numFmtId="0" fontId="147" fillId="0" borderId="0">
      <alignment vertical="top" wrapText="1"/>
    </xf>
    <xf numFmtId="0" fontId="224" fillId="50" borderId="0" applyNumberFormat="0" applyBorder="0" applyAlignment="0" applyProtection="0"/>
    <xf numFmtId="0" fontId="148" fillId="6" borderId="0" applyNumberFormat="0" applyBorder="0" applyAlignment="0" applyProtection="0"/>
    <xf numFmtId="38" fontId="60" fillId="2" borderId="0" applyNumberFormat="0" applyBorder="0" applyAlignment="0" applyProtection="0"/>
    <xf numFmtId="238" fontId="81" fillId="2" borderId="0" applyBorder="0" applyProtection="0"/>
    <xf numFmtId="0" fontId="149" fillId="0" borderId="11" applyNumberFormat="0" applyFill="0" applyBorder="0" applyAlignment="0" applyProtection="0">
      <alignment horizontal="center" vertical="center"/>
    </xf>
    <xf numFmtId="0" fontId="150" fillId="0" borderId="0" applyNumberFormat="0" applyFont="0" applyBorder="0" applyAlignment="0">
      <alignment horizontal="left" vertical="center"/>
    </xf>
    <xf numFmtId="239" fontId="44" fillId="0" borderId="0" applyFont="0" applyFill="0" applyBorder="0" applyAlignment="0" applyProtection="0"/>
    <xf numFmtId="0" fontId="151" fillId="24" borderId="0"/>
    <xf numFmtId="0" fontId="152" fillId="0" borderId="0">
      <alignment horizontal="left"/>
    </xf>
    <xf numFmtId="0" fontId="46" fillId="0" borderId="12" applyNumberFormat="0" applyAlignment="0" applyProtection="0">
      <alignment horizontal="left"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153" fillId="0" borderId="14" applyNumberFormat="0" applyFill="0" applyAlignment="0" applyProtection="0"/>
    <xf numFmtId="0" fontId="154" fillId="0" borderId="15" applyNumberFormat="0" applyFill="0" applyAlignment="0" applyProtection="0"/>
    <xf numFmtId="0" fontId="155" fillId="0" borderId="16" applyNumberFormat="0" applyFill="0" applyAlignment="0" applyProtection="0"/>
    <xf numFmtId="0" fontId="155" fillId="0" borderId="0" applyNumberFormat="0" applyFill="0" applyBorder="0" applyAlignment="0" applyProtection="0"/>
    <xf numFmtId="0" fontId="75" fillId="0" borderId="0" applyProtection="0"/>
    <xf numFmtId="0" fontId="46" fillId="0" borderId="0" applyProtection="0"/>
    <xf numFmtId="0" fontId="156" fillId="0" borderId="17">
      <alignment horizontal="center"/>
    </xf>
    <xf numFmtId="0" fontId="156" fillId="0" borderId="0">
      <alignment horizontal="center"/>
    </xf>
    <xf numFmtId="5" fontId="49" fillId="25" borderId="1" applyNumberFormat="0" applyAlignment="0">
      <alignment horizontal="left" vertical="top"/>
    </xf>
    <xf numFmtId="49" fontId="157" fillId="0" borderId="1">
      <alignment vertical="center"/>
    </xf>
    <xf numFmtId="0" fontId="22" fillId="0" borderId="0"/>
    <xf numFmtId="167" fontId="10" fillId="0" borderId="0" applyFont="0" applyFill="0" applyBorder="0" applyAlignment="0" applyProtection="0"/>
    <xf numFmtId="38" fontId="101" fillId="0" borderId="0" applyFont="0" applyFill="0" applyBorder="0" applyAlignment="0" applyProtection="0"/>
    <xf numFmtId="41" fontId="94" fillId="0" borderId="0" applyFont="0" applyFill="0" applyBorder="0" applyAlignment="0" applyProtection="0"/>
    <xf numFmtId="240" fontId="158" fillId="0" borderId="0" applyFont="0" applyFill="0" applyBorder="0" applyAlignment="0" applyProtection="0"/>
    <xf numFmtId="10" fontId="60" fillId="26" borderId="1" applyNumberFormat="0" applyBorder="0" applyAlignment="0" applyProtection="0"/>
    <xf numFmtId="0" fontId="159" fillId="9" borderId="6" applyNumberFormat="0" applyAlignment="0" applyProtection="0"/>
    <xf numFmtId="0" fontId="159" fillId="9" borderId="6" applyNumberFormat="0" applyAlignment="0" applyProtection="0"/>
    <xf numFmtId="0" fontId="160" fillId="0" borderId="0" applyNumberFormat="0" applyFill="0" applyBorder="0" applyAlignment="0" applyProtection="0">
      <alignment vertical="top"/>
      <protection locked="0"/>
    </xf>
    <xf numFmtId="0" fontId="161" fillId="0" borderId="0" applyNumberFormat="0" applyFill="0" applyBorder="0" applyAlignment="0" applyProtection="0">
      <alignment vertical="top"/>
      <protection locked="0"/>
    </xf>
    <xf numFmtId="0" fontId="162" fillId="0" borderId="0" applyNumberFormat="0" applyFill="0" applyBorder="0" applyAlignment="0" applyProtection="0">
      <alignment vertical="top"/>
      <protection locked="0"/>
    </xf>
    <xf numFmtId="0" fontId="160" fillId="0" borderId="0" applyNumberFormat="0" applyFill="0" applyBorder="0" applyAlignment="0" applyProtection="0">
      <alignment vertical="top"/>
      <protection locked="0"/>
    </xf>
    <xf numFmtId="167" fontId="10" fillId="0" borderId="0" applyFont="0" applyFill="0" applyBorder="0" applyAlignment="0" applyProtection="0"/>
    <xf numFmtId="0" fontId="10" fillId="0" borderId="0"/>
    <xf numFmtId="0" fontId="37" fillId="0" borderId="18">
      <alignment horizontal="centerContinuous"/>
    </xf>
    <xf numFmtId="0" fontId="24" fillId="0" borderId="0"/>
    <xf numFmtId="0" fontId="113" fillId="0" borderId="0"/>
    <xf numFmtId="0" fontId="101" fillId="0" borderId="0"/>
    <xf numFmtId="0" fontId="113" fillId="0" borderId="0"/>
    <xf numFmtId="0" fontId="22" fillId="0" borderId="0" applyNumberFormat="0" applyFont="0" applyFill="0" applyBorder="0" applyProtection="0">
      <alignment horizontal="left" vertical="center"/>
    </xf>
    <xf numFmtId="0" fontId="101" fillId="0" borderId="0"/>
    <xf numFmtId="0" fontId="45" fillId="0" borderId="0" applyFill="0" applyBorder="0" applyAlignment="0"/>
    <xf numFmtId="215" fontId="126" fillId="0" borderId="0" applyFill="0" applyBorder="0" applyAlignment="0"/>
    <xf numFmtId="219" fontId="126" fillId="0" borderId="0" applyFill="0" applyBorder="0" applyAlignment="0"/>
    <xf numFmtId="220" fontId="126" fillId="0" borderId="0" applyFill="0" applyBorder="0" applyAlignment="0"/>
    <xf numFmtId="215" fontId="126" fillId="0" borderId="0" applyFill="0" applyBorder="0" applyAlignment="0"/>
    <xf numFmtId="0" fontId="163" fillId="0" borderId="19" applyNumberFormat="0" applyFill="0" applyAlignment="0" applyProtection="0"/>
    <xf numFmtId="3" fontId="47" fillId="0" borderId="10" applyNumberFormat="0" applyAlignment="0">
      <alignment horizontal="center" vertical="center"/>
    </xf>
    <xf numFmtId="3" fontId="48" fillId="0" borderId="10" applyNumberFormat="0" applyAlignment="0">
      <alignment horizontal="center" vertical="center"/>
    </xf>
    <xf numFmtId="3" fontId="49" fillId="0" borderId="10" applyNumberFormat="0" applyAlignment="0">
      <alignment horizontal="center" vertical="center"/>
    </xf>
    <xf numFmtId="176" fontId="164" fillId="0" borderId="20" applyNumberFormat="0" applyFont="0" applyFill="0" applyBorder="0">
      <alignment horizontal="center"/>
    </xf>
    <xf numFmtId="38" fontId="101" fillId="0" borderId="0" applyFont="0" applyFill="0" applyBorder="0" applyAlignment="0" applyProtection="0"/>
    <xf numFmtId="40" fontId="101" fillId="0" borderId="0" applyFont="0" applyFill="0" applyBorder="0" applyAlignment="0" applyProtection="0"/>
    <xf numFmtId="167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0" fontId="165" fillId="0" borderId="17"/>
    <xf numFmtId="166" fontId="45" fillId="0" borderId="20"/>
    <xf numFmtId="241" fontId="117" fillId="0" borderId="0" applyFont="0" applyFill="0" applyBorder="0" applyAlignment="0" applyProtection="0"/>
    <xf numFmtId="242" fontId="117" fillId="0" borderId="0" applyFont="0" applyFill="0" applyBorder="0" applyAlignment="0" applyProtection="0"/>
    <xf numFmtId="243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0" fontId="50" fillId="0" borderId="0" applyNumberFormat="0" applyFont="0" applyFill="0" applyAlignment="0"/>
    <xf numFmtId="0" fontId="225" fillId="51" borderId="0" applyNumberFormat="0" applyBorder="0" applyAlignment="0" applyProtection="0"/>
    <xf numFmtId="0" fontId="166" fillId="27" borderId="0" applyNumberFormat="0" applyBorder="0" applyAlignment="0" applyProtection="0"/>
    <xf numFmtId="0" fontId="22" fillId="0" borderId="0"/>
    <xf numFmtId="0" fontId="91" fillId="0" borderId="21" applyNumberFormat="0" applyAlignment="0">
      <alignment horizontal="center"/>
    </xf>
    <xf numFmtId="37" fontId="76" fillId="0" borderId="0"/>
    <xf numFmtId="0" fontId="167" fillId="0" borderId="1" applyNumberFormat="0" applyFont="0" applyFill="0" applyBorder="0" applyAlignment="0">
      <alignment horizontal="center"/>
    </xf>
    <xf numFmtId="184" fontId="51" fillId="0" borderId="0"/>
    <xf numFmtId="184" fontId="168" fillId="0" borderId="0"/>
    <xf numFmtId="0" fontId="57" fillId="0" borderId="0"/>
    <xf numFmtId="0" fontId="169" fillId="0" borderId="0"/>
    <xf numFmtId="0" fontId="113" fillId="0" borderId="0"/>
    <xf numFmtId="0" fontId="113" fillId="0" borderId="0"/>
    <xf numFmtId="0" fontId="45" fillId="0" borderId="0"/>
    <xf numFmtId="0" fontId="24" fillId="0" borderId="0"/>
    <xf numFmtId="0" fontId="113" fillId="0" borderId="0"/>
    <xf numFmtId="0" fontId="113" fillId="0" borderId="0"/>
    <xf numFmtId="0" fontId="91" fillId="0" borderId="0"/>
    <xf numFmtId="0" fontId="45" fillId="0" borderId="0"/>
    <xf numFmtId="0" fontId="45" fillId="0" borderId="0"/>
    <xf numFmtId="0" fontId="45" fillId="0" borderId="0"/>
    <xf numFmtId="0" fontId="113" fillId="0" borderId="0"/>
    <xf numFmtId="0" fontId="24" fillId="0" borderId="0"/>
    <xf numFmtId="0" fontId="45" fillId="0" borderId="0"/>
    <xf numFmtId="0" fontId="113" fillId="0" borderId="0"/>
    <xf numFmtId="0" fontId="45" fillId="0" borderId="0"/>
    <xf numFmtId="0" fontId="24" fillId="0" borderId="0"/>
    <xf numFmtId="0" fontId="113" fillId="0" borderId="0"/>
    <xf numFmtId="0" fontId="113" fillId="0" borderId="0"/>
    <xf numFmtId="0" fontId="24" fillId="0" borderId="0"/>
    <xf numFmtId="0" fontId="10" fillId="0" borderId="0"/>
    <xf numFmtId="0" fontId="113" fillId="0" borderId="0"/>
    <xf numFmtId="0" fontId="45" fillId="0" borderId="0"/>
    <xf numFmtId="0" fontId="10" fillId="0" borderId="0"/>
    <xf numFmtId="0" fontId="113" fillId="0" borderId="0"/>
    <xf numFmtId="0" fontId="113" fillId="0" borderId="0"/>
    <xf numFmtId="0" fontId="222" fillId="0" borderId="0"/>
    <xf numFmtId="0" fontId="222" fillId="0" borderId="0"/>
    <xf numFmtId="0" fontId="222" fillId="0" borderId="0"/>
    <xf numFmtId="0" fontId="11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83" fillId="0" borderId="0"/>
    <xf numFmtId="0" fontId="222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13" fillId="0" borderId="0"/>
    <xf numFmtId="0" fontId="45" fillId="0" borderId="0"/>
    <xf numFmtId="0" fontId="113" fillId="0" borderId="0"/>
    <xf numFmtId="0" fontId="24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24" fillId="0" borderId="0"/>
    <xf numFmtId="0" fontId="10" fillId="0" borderId="0"/>
    <xf numFmtId="0" fontId="138" fillId="0" borderId="0"/>
    <xf numFmtId="0" fontId="45" fillId="0" borderId="0"/>
    <xf numFmtId="0" fontId="86" fillId="0" borderId="0"/>
    <xf numFmtId="0" fontId="170" fillId="0" borderId="0" applyNumberFormat="0" applyFill="0" applyBorder="0" applyProtection="0">
      <alignment vertical="top"/>
    </xf>
    <xf numFmtId="0" fontId="22" fillId="0" borderId="0"/>
    <xf numFmtId="0" fontId="170" fillId="0" borderId="0" applyNumberFormat="0" applyFill="0" applyBorder="0" applyProtection="0">
      <alignment vertical="top"/>
    </xf>
    <xf numFmtId="0" fontId="138" fillId="0" borderId="0"/>
    <xf numFmtId="0" fontId="10" fillId="0" borderId="0"/>
    <xf numFmtId="0" fontId="24" fillId="0" borderId="0"/>
    <xf numFmtId="0" fontId="10" fillId="0" borderId="0"/>
    <xf numFmtId="0" fontId="117" fillId="0" borderId="0"/>
    <xf numFmtId="0" fontId="113" fillId="0" borderId="0"/>
    <xf numFmtId="0" fontId="24" fillId="0" borderId="0"/>
    <xf numFmtId="0" fontId="113" fillId="0" borderId="0"/>
    <xf numFmtId="0" fontId="10" fillId="0" borderId="0"/>
    <xf numFmtId="0" fontId="56" fillId="0" borderId="0"/>
    <xf numFmtId="0" fontId="36" fillId="0" borderId="0"/>
    <xf numFmtId="0" fontId="10" fillId="0" borderId="0"/>
    <xf numFmtId="0" fontId="107" fillId="0" borderId="0" applyFont="0"/>
    <xf numFmtId="0" fontId="143" fillId="0" borderId="0"/>
    <xf numFmtId="0" fontId="113" fillId="28" borderId="22" applyNumberFormat="0" applyFont="0" applyAlignment="0" applyProtection="0"/>
    <xf numFmtId="245" fontId="171" fillId="0" borderId="0" applyFont="0" applyFill="0" applyBorder="0" applyProtection="0">
      <alignment vertical="top" wrapText="1"/>
    </xf>
    <xf numFmtId="0" fontId="91" fillId="0" borderId="0"/>
    <xf numFmtId="168" fontId="105" fillId="0" borderId="0" applyFont="0" applyFill="0" applyBorder="0" applyAlignment="0" applyProtection="0"/>
    <xf numFmtId="167" fontId="105" fillId="0" borderId="0" applyFont="0" applyFill="0" applyBorder="0" applyAlignment="0" applyProtection="0"/>
    <xf numFmtId="0" fontId="172" fillId="0" borderId="0" applyNumberFormat="0" applyFill="0" applyBorder="0" applyAlignment="0" applyProtection="0"/>
    <xf numFmtId="0" fontId="17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5" fillId="0" borderId="0" applyFont="0" applyFill="0" applyBorder="0" applyAlignment="0" applyProtection="0"/>
    <xf numFmtId="0" fontId="22" fillId="0" borderId="0"/>
    <xf numFmtId="0" fontId="173" fillId="22" borderId="23" applyNumberFormat="0" applyAlignment="0" applyProtection="0"/>
    <xf numFmtId="175" fontId="174" fillId="0" borderId="21" applyFont="0" applyBorder="0" applyAlignment="0"/>
    <xf numFmtId="41" fontId="45" fillId="0" borderId="0" applyFont="0" applyFill="0" applyBorder="0" applyAlignment="0" applyProtection="0"/>
    <xf numFmtId="14" fontId="37" fillId="0" borderId="0">
      <alignment horizontal="center" wrapText="1"/>
      <protection locked="0"/>
    </xf>
    <xf numFmtId="9" fontId="2" fillId="0" borderId="0" applyFont="0" applyFill="0" applyBorder="0" applyAlignment="0" applyProtection="0"/>
    <xf numFmtId="218" fontId="45" fillId="0" borderId="0" applyFont="0" applyFill="0" applyBorder="0" applyAlignment="0" applyProtection="0"/>
    <xf numFmtId="246" fontId="45" fillId="0" borderId="0" applyFont="0" applyFill="0" applyBorder="0" applyAlignment="0" applyProtection="0"/>
    <xf numFmtId="10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33" fillId="0" borderId="0" applyFont="0" applyFill="0" applyBorder="0" applyAlignment="0" applyProtection="0"/>
    <xf numFmtId="9" fontId="133" fillId="0" borderId="0" applyFont="0" applyFill="0" applyBorder="0" applyAlignment="0" applyProtection="0"/>
    <xf numFmtId="9" fontId="133" fillId="0" borderId="0" applyFont="0" applyFill="0" applyBorder="0" applyAlignment="0" applyProtection="0"/>
    <xf numFmtId="9" fontId="101" fillId="0" borderId="24" applyNumberFormat="0" applyBorder="0"/>
    <xf numFmtId="0" fontId="45" fillId="0" borderId="0" applyFill="0" applyBorder="0" applyAlignment="0"/>
    <xf numFmtId="215" fontId="126" fillId="0" borderId="0" applyFill="0" applyBorder="0" applyAlignment="0"/>
    <xf numFmtId="219" fontId="126" fillId="0" borderId="0" applyFill="0" applyBorder="0" applyAlignment="0"/>
    <xf numFmtId="220" fontId="126" fillId="0" borderId="0" applyFill="0" applyBorder="0" applyAlignment="0"/>
    <xf numFmtId="215" fontId="126" fillId="0" borderId="0" applyFill="0" applyBorder="0" applyAlignment="0"/>
    <xf numFmtId="0" fontId="175" fillId="0" borderId="0"/>
    <xf numFmtId="0" fontId="101" fillId="0" borderId="0" applyNumberFormat="0" applyFont="0" applyFill="0" applyBorder="0" applyAlignment="0" applyProtection="0">
      <alignment horizontal="left"/>
    </xf>
    <xf numFmtId="0" fontId="176" fillId="0" borderId="17">
      <alignment horizontal="center"/>
    </xf>
    <xf numFmtId="1" fontId="45" fillId="0" borderId="10" applyNumberFormat="0" applyFill="0" applyAlignment="0" applyProtection="0">
      <alignment horizontal="center" vertical="center"/>
    </xf>
    <xf numFmtId="0" fontId="177" fillId="29" borderId="0" applyNumberFormat="0" applyFont="0" applyBorder="0" applyAlignment="0">
      <alignment horizontal="center"/>
    </xf>
    <xf numFmtId="14" fontId="178" fillId="0" borderId="0" applyNumberFormat="0" applyFill="0" applyBorder="0" applyAlignment="0" applyProtection="0">
      <alignment horizontal="left"/>
    </xf>
    <xf numFmtId="0" fontId="161" fillId="0" borderId="0" applyNumberFormat="0" applyFill="0" applyBorder="0" applyAlignment="0" applyProtection="0">
      <alignment vertical="top"/>
      <protection locked="0"/>
    </xf>
    <xf numFmtId="0" fontId="91" fillId="0" borderId="0"/>
    <xf numFmtId="41" fontId="9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" fontId="179" fillId="30" borderId="25" applyNumberFormat="0" applyProtection="0">
      <alignment vertical="center"/>
    </xf>
    <xf numFmtId="4" fontId="180" fillId="30" borderId="25" applyNumberFormat="0" applyProtection="0">
      <alignment vertical="center"/>
    </xf>
    <xf numFmtId="4" fontId="181" fillId="30" borderId="25" applyNumberFormat="0" applyProtection="0">
      <alignment horizontal="left" vertical="center" indent="1"/>
    </xf>
    <xf numFmtId="4" fontId="181" fillId="31" borderId="0" applyNumberFormat="0" applyProtection="0">
      <alignment horizontal="left" vertical="center" indent="1"/>
    </xf>
    <xf numFmtId="4" fontId="181" fillId="32" borderId="25" applyNumberFormat="0" applyProtection="0">
      <alignment horizontal="right" vertical="center"/>
    </xf>
    <xf numFmtId="4" fontId="181" fillId="33" borderId="25" applyNumberFormat="0" applyProtection="0">
      <alignment horizontal="right" vertical="center"/>
    </xf>
    <xf numFmtId="4" fontId="181" fillId="34" borderId="25" applyNumberFormat="0" applyProtection="0">
      <alignment horizontal="right" vertical="center"/>
    </xf>
    <xf numFmtId="4" fontId="181" fillId="35" borderId="25" applyNumberFormat="0" applyProtection="0">
      <alignment horizontal="right" vertical="center"/>
    </xf>
    <xf numFmtId="4" fontId="181" fillId="36" borderId="25" applyNumberFormat="0" applyProtection="0">
      <alignment horizontal="right" vertical="center"/>
    </xf>
    <xf numFmtId="4" fontId="181" fillId="37" borderId="25" applyNumberFormat="0" applyProtection="0">
      <alignment horizontal="right" vertical="center"/>
    </xf>
    <xf numFmtId="4" fontId="181" fillId="38" borderId="25" applyNumberFormat="0" applyProtection="0">
      <alignment horizontal="right" vertical="center"/>
    </xf>
    <xf numFmtId="4" fontId="181" fillId="39" borderId="25" applyNumberFormat="0" applyProtection="0">
      <alignment horizontal="right" vertical="center"/>
    </xf>
    <xf numFmtId="4" fontId="181" fillId="40" borderId="25" applyNumberFormat="0" applyProtection="0">
      <alignment horizontal="right" vertical="center"/>
    </xf>
    <xf numFmtId="4" fontId="179" fillId="41" borderId="26" applyNumberFormat="0" applyProtection="0">
      <alignment horizontal="left" vertical="center" indent="1"/>
    </xf>
    <xf numFmtId="4" fontId="179" fillId="42" borderId="0" applyNumberFormat="0" applyProtection="0">
      <alignment horizontal="left" vertical="center" indent="1"/>
    </xf>
    <xf numFmtId="4" fontId="179" fillId="31" borderId="0" applyNumberFormat="0" applyProtection="0">
      <alignment horizontal="left" vertical="center" indent="1"/>
    </xf>
    <xf numFmtId="4" fontId="181" fillId="42" borderId="25" applyNumberFormat="0" applyProtection="0">
      <alignment horizontal="right" vertical="center"/>
    </xf>
    <xf numFmtId="4" fontId="102" fillId="42" borderId="0" applyNumberFormat="0" applyProtection="0">
      <alignment horizontal="left" vertical="center" indent="1"/>
    </xf>
    <xf numFmtId="4" fontId="102" fillId="31" borderId="0" applyNumberFormat="0" applyProtection="0">
      <alignment horizontal="left" vertical="center" indent="1"/>
    </xf>
    <xf numFmtId="4" fontId="181" fillId="43" borderId="25" applyNumberFormat="0" applyProtection="0">
      <alignment vertical="center"/>
    </xf>
    <xf numFmtId="4" fontId="182" fillId="43" borderId="25" applyNumberFormat="0" applyProtection="0">
      <alignment vertical="center"/>
    </xf>
    <xf numFmtId="4" fontId="179" fillId="42" borderId="27" applyNumberFormat="0" applyProtection="0">
      <alignment horizontal="left" vertical="center" indent="1"/>
    </xf>
    <xf numFmtId="4" fontId="181" fillId="43" borderId="25" applyNumberFormat="0" applyProtection="0">
      <alignment horizontal="right" vertical="center"/>
    </xf>
    <xf numFmtId="4" fontId="182" fillId="43" borderId="25" applyNumberFormat="0" applyProtection="0">
      <alignment horizontal="right" vertical="center"/>
    </xf>
    <xf numFmtId="4" fontId="179" fillId="42" borderId="25" applyNumberFormat="0" applyProtection="0">
      <alignment horizontal="left" vertical="center" indent="1"/>
    </xf>
    <xf numFmtId="4" fontId="183" fillId="25" borderId="27" applyNumberFormat="0" applyProtection="0">
      <alignment horizontal="left" vertical="center" indent="1"/>
    </xf>
    <xf numFmtId="4" fontId="184" fillId="43" borderId="25" applyNumberFormat="0" applyProtection="0">
      <alignment horizontal="right" vertical="center"/>
    </xf>
    <xf numFmtId="247" fontId="185" fillId="0" borderId="0" applyFont="0" applyFill="0" applyBorder="0" applyAlignment="0" applyProtection="0"/>
    <xf numFmtId="0" fontId="177" fillId="1" borderId="13" applyNumberFormat="0" applyFont="0" applyAlignment="0">
      <alignment horizontal="center"/>
    </xf>
    <xf numFmtId="3" fontId="86" fillId="0" borderId="0"/>
    <xf numFmtId="0" fontId="186" fillId="0" borderId="0" applyNumberFormat="0" applyFill="0" applyBorder="0" applyAlignment="0">
      <alignment horizontal="center"/>
    </xf>
    <xf numFmtId="0" fontId="45" fillId="0" borderId="0"/>
    <xf numFmtId="175" fontId="187" fillId="0" borderId="0" applyNumberFormat="0" applyBorder="0" applyAlignment="0">
      <alignment horizontal="centerContinuous"/>
    </xf>
    <xf numFmtId="0" fontId="100" fillId="0" borderId="0"/>
    <xf numFmtId="175" fontId="13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0" fillId="0" borderId="0" applyFont="0" applyFill="0" applyBorder="0" applyAlignment="0" applyProtection="0"/>
    <xf numFmtId="175" fontId="130" fillId="0" borderId="0" applyFont="0" applyFill="0" applyBorder="0" applyAlignment="0" applyProtection="0"/>
    <xf numFmtId="41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97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2" fontId="94" fillId="0" borderId="0" applyFont="0" applyFill="0" applyBorder="0" applyAlignment="0" applyProtection="0"/>
    <xf numFmtId="202" fontId="94" fillId="0" borderId="0" applyFont="0" applyFill="0" applyBorder="0" applyAlignment="0" applyProtection="0"/>
    <xf numFmtId="189" fontId="86" fillId="0" borderId="0" applyFont="0" applyFill="0" applyBorder="0" applyAlignment="0" applyProtection="0"/>
    <xf numFmtId="189" fontId="94" fillId="0" borderId="0" applyFont="0" applyFill="0" applyBorder="0" applyAlignment="0" applyProtection="0"/>
    <xf numFmtId="0" fontId="91" fillId="0" borderId="0"/>
    <xf numFmtId="248" fontId="44" fillId="0" borderId="0" applyFont="0" applyFill="0" applyBorder="0" applyAlignment="0" applyProtection="0"/>
    <xf numFmtId="169" fontId="94" fillId="0" borderId="0" applyFont="0" applyFill="0" applyBorder="0" applyAlignment="0" applyProtection="0"/>
    <xf numFmtId="175" fontId="13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0" fillId="0" borderId="0" applyFont="0" applyFill="0" applyBorder="0" applyAlignment="0" applyProtection="0"/>
    <xf numFmtId="175" fontId="130" fillId="0" borderId="0" applyFont="0" applyFill="0" applyBorder="0" applyAlignment="0" applyProtection="0"/>
    <xf numFmtId="19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9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9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97" fontId="94" fillId="0" borderId="0" applyFont="0" applyFill="0" applyBorder="0" applyAlignment="0" applyProtection="0"/>
    <xf numFmtId="197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97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97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204" fontId="94" fillId="0" borderId="0" applyFont="0" applyFill="0" applyBorder="0" applyAlignment="0" applyProtection="0"/>
    <xf numFmtId="205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2" fontId="94" fillId="0" borderId="0" applyFont="0" applyFill="0" applyBorder="0" applyAlignment="0" applyProtection="0"/>
    <xf numFmtId="42" fontId="94" fillId="0" borderId="0" applyFont="0" applyFill="0" applyBorder="0" applyAlignment="0" applyProtection="0"/>
    <xf numFmtId="189" fontId="94" fillId="0" borderId="0" applyFont="0" applyFill="0" applyBorder="0" applyAlignment="0" applyProtection="0"/>
    <xf numFmtId="202" fontId="94" fillId="0" borderId="0" applyFont="0" applyFill="0" applyBorder="0" applyAlignment="0" applyProtection="0"/>
    <xf numFmtId="189" fontId="86" fillId="0" borderId="0" applyFont="0" applyFill="0" applyBorder="0" applyAlignment="0" applyProtection="0"/>
    <xf numFmtId="169" fontId="94" fillId="0" borderId="0" applyFont="0" applyFill="0" applyBorder="0" applyAlignment="0" applyProtection="0"/>
    <xf numFmtId="202" fontId="94" fillId="0" borderId="0" applyFont="0" applyFill="0" applyBorder="0" applyAlignment="0" applyProtection="0"/>
    <xf numFmtId="189" fontId="94" fillId="0" borderId="0" applyFont="0" applyFill="0" applyBorder="0" applyAlignment="0" applyProtection="0"/>
    <xf numFmtId="203" fontId="94" fillId="0" borderId="0" applyFont="0" applyFill="0" applyBorder="0" applyAlignment="0" applyProtection="0"/>
    <xf numFmtId="0" fontId="91" fillId="0" borderId="0"/>
    <xf numFmtId="248" fontId="4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4" fontId="188" fillId="0" borderId="0"/>
    <xf numFmtId="0" fontId="189" fillId="0" borderId="0"/>
    <xf numFmtId="0" fontId="165" fillId="0" borderId="0"/>
    <xf numFmtId="40" fontId="190" fillId="0" borderId="0" applyBorder="0">
      <alignment horizontal="right"/>
    </xf>
    <xf numFmtId="0" fontId="191" fillId="0" borderId="0"/>
    <xf numFmtId="188" fontId="44" fillId="0" borderId="28">
      <alignment horizontal="right" vertical="center"/>
    </xf>
    <xf numFmtId="166" fontId="192" fillId="0" borderId="28">
      <alignment horizontal="right" vertical="center"/>
    </xf>
    <xf numFmtId="164" fontId="117" fillId="0" borderId="28">
      <alignment horizontal="right" vertical="center"/>
    </xf>
    <xf numFmtId="188" fontId="44" fillId="0" borderId="28">
      <alignment horizontal="right" vertical="center"/>
    </xf>
    <xf numFmtId="188" fontId="44" fillId="0" borderId="28">
      <alignment horizontal="right" vertical="center"/>
    </xf>
    <xf numFmtId="164" fontId="117" fillId="0" borderId="28">
      <alignment horizontal="right" vertical="center"/>
    </xf>
    <xf numFmtId="164" fontId="117" fillId="0" borderId="28">
      <alignment horizontal="right" vertical="center"/>
    </xf>
    <xf numFmtId="249" fontId="130" fillId="0" borderId="28">
      <alignment horizontal="right" vertical="center"/>
    </xf>
    <xf numFmtId="250" fontId="94" fillId="0" borderId="28">
      <alignment horizontal="right" vertical="center"/>
    </xf>
    <xf numFmtId="164" fontId="117" fillId="0" borderId="28">
      <alignment horizontal="right" vertical="center"/>
    </xf>
    <xf numFmtId="251" fontId="10" fillId="0" borderId="28">
      <alignment horizontal="right" vertical="center"/>
    </xf>
    <xf numFmtId="252" fontId="45" fillId="0" borderId="28">
      <alignment horizontal="right" vertical="center"/>
    </xf>
    <xf numFmtId="251" fontId="10" fillId="0" borderId="28">
      <alignment horizontal="right" vertical="center"/>
    </xf>
    <xf numFmtId="250" fontId="94" fillId="0" borderId="28">
      <alignment horizontal="right" vertical="center"/>
    </xf>
    <xf numFmtId="250" fontId="94" fillId="0" borderId="28">
      <alignment horizontal="right" vertical="center"/>
    </xf>
    <xf numFmtId="250" fontId="94" fillId="0" borderId="28">
      <alignment horizontal="right" vertical="center"/>
    </xf>
    <xf numFmtId="188" fontId="44" fillId="0" borderId="28">
      <alignment horizontal="right" vertical="center"/>
    </xf>
    <xf numFmtId="188" fontId="44" fillId="0" borderId="28">
      <alignment horizontal="right" vertical="center"/>
    </xf>
    <xf numFmtId="250" fontId="94" fillId="0" borderId="28">
      <alignment horizontal="right" vertical="center"/>
    </xf>
    <xf numFmtId="253" fontId="45" fillId="0" borderId="28">
      <alignment horizontal="right" vertical="center"/>
    </xf>
    <xf numFmtId="250" fontId="94" fillId="0" borderId="28">
      <alignment horizontal="right" vertical="center"/>
    </xf>
    <xf numFmtId="188" fontId="44" fillId="0" borderId="28">
      <alignment horizontal="right" vertical="center"/>
    </xf>
    <xf numFmtId="254" fontId="193" fillId="2" borderId="29" applyFont="0" applyFill="0" applyBorder="0"/>
    <xf numFmtId="188" fontId="44" fillId="0" borderId="28">
      <alignment horizontal="right" vertical="center"/>
    </xf>
    <xf numFmtId="188" fontId="44" fillId="0" borderId="28">
      <alignment horizontal="right" vertical="center"/>
    </xf>
    <xf numFmtId="254" fontId="193" fillId="2" borderId="29" applyFont="0" applyFill="0" applyBorder="0"/>
    <xf numFmtId="253" fontId="45" fillId="0" borderId="28">
      <alignment horizontal="right" vertical="center"/>
    </xf>
    <xf numFmtId="251" fontId="10" fillId="0" borderId="28">
      <alignment horizontal="right" vertical="center"/>
    </xf>
    <xf numFmtId="253" fontId="45" fillId="0" borderId="28">
      <alignment horizontal="right" vertical="center"/>
    </xf>
    <xf numFmtId="253" fontId="45" fillId="0" borderId="28">
      <alignment horizontal="right" vertical="center"/>
    </xf>
    <xf numFmtId="253" fontId="45" fillId="0" borderId="28">
      <alignment horizontal="right" vertical="center"/>
    </xf>
    <xf numFmtId="250" fontId="94" fillId="0" borderId="28">
      <alignment horizontal="right" vertical="center"/>
    </xf>
    <xf numFmtId="253" fontId="45" fillId="0" borderId="28">
      <alignment horizontal="right" vertical="center"/>
    </xf>
    <xf numFmtId="251" fontId="10" fillId="0" borderId="28">
      <alignment horizontal="right" vertical="center"/>
    </xf>
    <xf numFmtId="164" fontId="117" fillId="0" borderId="28">
      <alignment horizontal="right" vertical="center"/>
    </xf>
    <xf numFmtId="164" fontId="117" fillId="0" borderId="28">
      <alignment horizontal="right" vertical="center"/>
    </xf>
    <xf numFmtId="255" fontId="10" fillId="0" borderId="28">
      <alignment horizontal="right" vertical="center"/>
    </xf>
    <xf numFmtId="164" fontId="117" fillId="0" borderId="28">
      <alignment horizontal="right" vertical="center"/>
    </xf>
    <xf numFmtId="164" fontId="117" fillId="0" borderId="28">
      <alignment horizontal="right" vertical="center"/>
    </xf>
    <xf numFmtId="164" fontId="117" fillId="0" borderId="28">
      <alignment horizontal="right" vertical="center"/>
    </xf>
    <xf numFmtId="164" fontId="117" fillId="0" borderId="28">
      <alignment horizontal="right" vertical="center"/>
    </xf>
    <xf numFmtId="164" fontId="117" fillId="0" borderId="28">
      <alignment horizontal="right" vertical="center"/>
    </xf>
    <xf numFmtId="164" fontId="117" fillId="0" borderId="28">
      <alignment horizontal="right" vertical="center"/>
    </xf>
    <xf numFmtId="164" fontId="117" fillId="0" borderId="28">
      <alignment horizontal="right" vertical="center"/>
    </xf>
    <xf numFmtId="188" fontId="44" fillId="0" borderId="28">
      <alignment horizontal="right" vertical="center"/>
    </xf>
    <xf numFmtId="188" fontId="44" fillId="0" borderId="28">
      <alignment horizontal="right" vertical="center"/>
    </xf>
    <xf numFmtId="188" fontId="44" fillId="0" borderId="28">
      <alignment horizontal="right" vertical="center"/>
    </xf>
    <xf numFmtId="188" fontId="44" fillId="0" borderId="28">
      <alignment horizontal="right" vertical="center"/>
    </xf>
    <xf numFmtId="188" fontId="44" fillId="0" borderId="28">
      <alignment horizontal="right" vertical="center"/>
    </xf>
    <xf numFmtId="188" fontId="44" fillId="0" borderId="28">
      <alignment horizontal="right" vertical="center"/>
    </xf>
    <xf numFmtId="188" fontId="44" fillId="0" borderId="28">
      <alignment horizontal="right" vertical="center"/>
    </xf>
    <xf numFmtId="190" fontId="10" fillId="0" borderId="28">
      <alignment horizontal="right" vertical="center"/>
    </xf>
    <xf numFmtId="164" fontId="117" fillId="0" borderId="28">
      <alignment horizontal="right" vertical="center"/>
    </xf>
    <xf numFmtId="164" fontId="117" fillId="0" borderId="28">
      <alignment horizontal="right" vertical="center"/>
    </xf>
    <xf numFmtId="164" fontId="117" fillId="0" borderId="28">
      <alignment horizontal="right" vertical="center"/>
    </xf>
    <xf numFmtId="164" fontId="117" fillId="0" borderId="28">
      <alignment horizontal="right" vertical="center"/>
    </xf>
    <xf numFmtId="188" fontId="44" fillId="0" borderId="28">
      <alignment horizontal="right" vertical="center"/>
    </xf>
    <xf numFmtId="188" fontId="44" fillId="0" borderId="28">
      <alignment horizontal="right" vertical="center"/>
    </xf>
    <xf numFmtId="164" fontId="117" fillId="0" borderId="28">
      <alignment horizontal="right" vertical="center"/>
    </xf>
    <xf numFmtId="254" fontId="193" fillId="2" borderId="29" applyFont="0" applyFill="0" applyBorder="0"/>
    <xf numFmtId="243" fontId="10" fillId="0" borderId="28">
      <alignment horizontal="right" vertical="center"/>
    </xf>
    <xf numFmtId="166" fontId="192" fillId="0" borderId="28">
      <alignment horizontal="right" vertical="center"/>
    </xf>
    <xf numFmtId="188" fontId="44" fillId="0" borderId="28">
      <alignment horizontal="right" vertical="center"/>
    </xf>
    <xf numFmtId="255" fontId="10" fillId="0" borderId="28">
      <alignment horizontal="right" vertical="center"/>
    </xf>
    <xf numFmtId="254" fontId="193" fillId="2" borderId="29" applyFont="0" applyFill="0" applyBorder="0"/>
    <xf numFmtId="256" fontId="194" fillId="0" borderId="28">
      <alignment horizontal="right" vertical="center"/>
    </xf>
    <xf numFmtId="49" fontId="102" fillId="0" borderId="0" applyFill="0" applyBorder="0" applyAlignment="0"/>
    <xf numFmtId="0" fontId="45" fillId="0" borderId="0" applyFill="0" applyBorder="0" applyAlignment="0"/>
    <xf numFmtId="190" fontId="45" fillId="0" borderId="0" applyFill="0" applyBorder="0" applyAlignment="0"/>
    <xf numFmtId="189" fontId="44" fillId="0" borderId="28">
      <alignment horizontal="center"/>
    </xf>
    <xf numFmtId="257" fontId="195" fillId="0" borderId="0" applyNumberFormat="0" applyFont="0" applyFill="0" applyBorder="0" applyAlignment="0">
      <alignment horizontal="centerContinuous"/>
    </xf>
    <xf numFmtId="0" fontId="196" fillId="0" borderId="3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2" fillId="0" borderId="0" applyNumberFormat="0" applyFill="0" applyBorder="0" applyAlignment="0" applyProtection="0"/>
    <xf numFmtId="0" fontId="130" fillId="0" borderId="21" applyNumberFormat="0" applyBorder="0" applyAlignment="0"/>
    <xf numFmtId="0" fontId="197" fillId="0" borderId="20" applyNumberFormat="0" applyBorder="0" applyAlignment="0">
      <alignment horizontal="center"/>
    </xf>
    <xf numFmtId="3" fontId="198" fillId="0" borderId="11" applyNumberFormat="0" applyBorder="0" applyAlignment="0"/>
    <xf numFmtId="0" fontId="199" fillId="0" borderId="21">
      <alignment horizontal="center" vertical="center" wrapText="1"/>
    </xf>
    <xf numFmtId="0" fontId="200" fillId="0" borderId="0">
      <alignment horizontal="center"/>
    </xf>
    <xf numFmtId="40" fontId="81" fillId="0" borderId="0"/>
    <xf numFmtId="3" fontId="201" fillId="0" borderId="0" applyNumberFormat="0" applyFill="0" applyBorder="0" applyAlignment="0" applyProtection="0">
      <alignment horizontal="center" wrapText="1"/>
    </xf>
    <xf numFmtId="0" fontId="202" fillId="0" borderId="31" applyBorder="0" applyAlignment="0">
      <alignment horizontal="center" vertical="center"/>
    </xf>
    <xf numFmtId="0" fontId="203" fillId="0" borderId="0" applyNumberFormat="0" applyFill="0" applyBorder="0" applyAlignment="0" applyProtection="0">
      <alignment horizontal="centerContinuous"/>
    </xf>
    <xf numFmtId="0" fontId="149" fillId="0" borderId="32" applyNumberFormat="0" applyFill="0" applyBorder="0" applyAlignment="0" applyProtection="0">
      <alignment horizontal="center" vertical="center" wrapText="1"/>
    </xf>
    <xf numFmtId="0" fontId="204" fillId="0" borderId="0" applyNumberFormat="0" applyFill="0" applyBorder="0" applyAlignment="0" applyProtection="0"/>
    <xf numFmtId="3" fontId="52" fillId="0" borderId="10" applyNumberFormat="0" applyAlignment="0">
      <alignment horizontal="center" vertical="center"/>
    </xf>
    <xf numFmtId="3" fontId="6" fillId="0" borderId="21" applyNumberFormat="0" applyAlignment="0">
      <alignment horizontal="left" wrapText="1"/>
    </xf>
    <xf numFmtId="0" fontId="205" fillId="0" borderId="33" applyNumberFormat="0" applyBorder="0" applyAlignment="0">
      <alignment vertical="center"/>
    </xf>
    <xf numFmtId="0" fontId="206" fillId="0" borderId="34" applyNumberFormat="0" applyFill="0" applyAlignment="0" applyProtection="0"/>
    <xf numFmtId="0" fontId="207" fillId="0" borderId="35" applyNumberFormat="0" applyAlignment="0">
      <alignment horizontal="center"/>
    </xf>
    <xf numFmtId="0" fontId="138" fillId="0" borderId="36">
      <alignment horizontal="center"/>
    </xf>
    <xf numFmtId="167" fontId="45" fillId="0" borderId="0" applyFont="0" applyFill="0" applyBorder="0" applyAlignment="0" applyProtection="0"/>
    <xf numFmtId="258" fontId="45" fillId="0" borderId="0" applyFont="0" applyFill="0" applyBorder="0" applyAlignment="0" applyProtection="0"/>
    <xf numFmtId="236" fontId="158" fillId="0" borderId="0" applyFont="0" applyFill="0" applyBorder="0" applyAlignment="0" applyProtection="0"/>
    <xf numFmtId="198" fontId="45" fillId="0" borderId="0" applyFont="0" applyFill="0" applyBorder="0" applyAlignment="0" applyProtection="0"/>
    <xf numFmtId="259" fontId="45" fillId="0" borderId="0" applyFont="0" applyFill="0" applyBorder="0" applyAlignment="0" applyProtection="0"/>
    <xf numFmtId="0" fontId="46" fillId="0" borderId="37">
      <alignment horizontal="center"/>
    </xf>
    <xf numFmtId="190" fontId="44" fillId="0" borderId="0"/>
    <xf numFmtId="191" fontId="44" fillId="0" borderId="1"/>
    <xf numFmtId="0" fontId="208" fillId="0" borderId="0"/>
    <xf numFmtId="3" fontId="44" fillId="0" borderId="0" applyNumberFormat="0" applyBorder="0" applyAlignment="0" applyProtection="0">
      <alignment horizontal="centerContinuous"/>
      <protection locked="0"/>
    </xf>
    <xf numFmtId="3" fontId="209" fillId="0" borderId="0">
      <protection locked="0"/>
    </xf>
    <xf numFmtId="0" fontId="208" fillId="0" borderId="0"/>
    <xf numFmtId="5" fontId="210" fillId="44" borderId="31">
      <alignment vertical="top"/>
    </xf>
    <xf numFmtId="0" fontId="8" fillId="45" borderId="1">
      <alignment horizontal="left" vertical="center"/>
    </xf>
    <xf numFmtId="6" fontId="211" fillId="46" borderId="31"/>
    <xf numFmtId="5" fontId="49" fillId="0" borderId="31">
      <alignment horizontal="left" vertical="top"/>
    </xf>
    <xf numFmtId="0" fontId="212" fillId="47" borderId="0">
      <alignment horizontal="left" vertical="center"/>
    </xf>
    <xf numFmtId="5" fontId="91" fillId="0" borderId="10">
      <alignment horizontal="left" vertical="top"/>
    </xf>
    <xf numFmtId="0" fontId="213" fillId="0" borderId="10">
      <alignment horizontal="left" vertical="center"/>
    </xf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42" fontId="87" fillId="0" borderId="0" applyFont="0" applyFill="0" applyBorder="0" applyAlignment="0" applyProtection="0"/>
    <xf numFmtId="260" fontId="45" fillId="0" borderId="0" applyFont="0" applyFill="0" applyBorder="0" applyAlignment="0" applyProtection="0"/>
    <xf numFmtId="42" fontId="143" fillId="0" borderId="0" applyFont="0" applyFill="0" applyBorder="0" applyAlignment="0" applyProtection="0"/>
    <xf numFmtId="44" fontId="143" fillId="0" borderId="0" applyFont="0" applyFill="0" applyBorder="0" applyAlignment="0" applyProtection="0"/>
    <xf numFmtId="0" fontId="214" fillId="0" borderId="0" applyNumberFormat="0" applyFill="0" applyBorder="0" applyAlignment="0" applyProtection="0"/>
    <xf numFmtId="0" fontId="215" fillId="0" borderId="0" applyNumberFormat="0" applyFont="0" applyFill="0" applyBorder="0" applyProtection="0">
      <alignment horizontal="center" vertical="center" wrapText="1"/>
    </xf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117" fillId="0" borderId="38" applyFont="0" applyBorder="0" applyAlignment="0">
      <alignment horizontal="center"/>
    </xf>
    <xf numFmtId="167" fontId="10" fillId="0" borderId="0" applyFont="0" applyFill="0" applyBorder="0" applyAlignment="0" applyProtection="0"/>
    <xf numFmtId="42" fontId="216" fillId="0" borderId="0" applyFont="0" applyFill="0" applyBorder="0" applyAlignment="0" applyProtection="0"/>
    <xf numFmtId="44" fontId="216" fillId="0" borderId="0" applyFont="0" applyFill="0" applyBorder="0" applyAlignment="0" applyProtection="0"/>
    <xf numFmtId="0" fontId="216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24" fillId="0" borderId="0">
      <alignment vertical="center"/>
    </xf>
    <xf numFmtId="40" fontId="54" fillId="0" borderId="0" applyFont="0" applyFill="0" applyBorder="0" applyAlignment="0" applyProtection="0"/>
    <xf numFmtId="38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9" fontId="217" fillId="0" borderId="0" applyBorder="0" applyAlignment="0" applyProtection="0"/>
    <xf numFmtId="0" fontId="55" fillId="0" borderId="0"/>
    <xf numFmtId="0" fontId="218" fillId="0" borderId="3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98" fontId="45" fillId="0" borderId="0" applyFont="0" applyFill="0" applyBorder="0" applyAlignment="0" applyProtection="0"/>
    <xf numFmtId="219" fontId="45" fillId="0" borderId="0" applyFont="0" applyFill="0" applyBorder="0" applyAlignment="0" applyProtection="0"/>
    <xf numFmtId="0" fontId="57" fillId="0" borderId="0"/>
    <xf numFmtId="0" fontId="219" fillId="0" borderId="0"/>
    <xf numFmtId="0" fontId="50" fillId="0" borderId="0"/>
    <xf numFmtId="167" fontId="56" fillId="0" borderId="0" applyFont="0" applyFill="0" applyBorder="0" applyAlignment="0" applyProtection="0"/>
    <xf numFmtId="168" fontId="56" fillId="0" borderId="0" applyFont="0" applyFill="0" applyBorder="0" applyAlignment="0" applyProtection="0"/>
    <xf numFmtId="43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0" fontId="45" fillId="0" borderId="0"/>
    <xf numFmtId="182" fontId="56" fillId="0" borderId="0" applyFont="0" applyFill="0" applyBorder="0" applyAlignment="0" applyProtection="0"/>
    <xf numFmtId="177" fontId="58" fillId="0" borderId="0" applyFont="0" applyFill="0" applyBorder="0" applyAlignment="0" applyProtection="0"/>
    <xf numFmtId="183" fontId="56" fillId="0" borderId="0" applyFont="0" applyFill="0" applyBorder="0" applyAlignment="0" applyProtection="0"/>
    <xf numFmtId="44" fontId="45" fillId="0" borderId="0" applyFont="0" applyFill="0" applyBorder="0" applyAlignment="0" applyProtection="0"/>
    <xf numFmtId="42" fontId="45" fillId="0" borderId="0" applyFont="0" applyFill="0" applyBorder="0" applyAlignment="0" applyProtection="0"/>
    <xf numFmtId="43" fontId="231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231" fillId="0" borderId="0"/>
    <xf numFmtId="43" fontId="1" fillId="0" borderId="0" applyFont="0" applyFill="0" applyBorder="0" applyAlignment="0" applyProtection="0"/>
  </cellStyleXfs>
  <cellXfs count="68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3" fillId="0" borderId="21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171" fontId="13" fillId="0" borderId="21" xfId="442" applyNumberFormat="1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/>
    </xf>
    <xf numFmtId="0" fontId="17" fillId="0" borderId="21" xfId="0" applyFont="1" applyBorder="1" applyAlignment="1">
      <alignment vertical="center" wrapText="1"/>
    </xf>
    <xf numFmtId="172" fontId="17" fillId="0" borderId="21" xfId="442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21" xfId="0" applyFont="1" applyBorder="1" applyAlignment="1">
      <alignment horizontal="center" vertical="center"/>
    </xf>
    <xf numFmtId="0" fontId="16" fillId="0" borderId="21" xfId="0" applyFont="1" applyBorder="1" applyAlignment="1">
      <alignment vertical="center" wrapText="1"/>
    </xf>
    <xf numFmtId="172" fontId="13" fillId="0" borderId="21" xfId="442" applyNumberFormat="1" applyFont="1" applyBorder="1" applyAlignment="1">
      <alignment horizontal="center" vertical="center"/>
    </xf>
    <xf numFmtId="3" fontId="16" fillId="0" borderId="20" xfId="442" applyNumberFormat="1" applyFont="1" applyBorder="1" applyAlignment="1">
      <alignment horizontal="center" vertical="center"/>
    </xf>
    <xf numFmtId="3" fontId="13" fillId="0" borderId="21" xfId="442" applyNumberFormat="1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13" fillId="0" borderId="0" xfId="0" applyFont="1" applyAlignment="1">
      <alignment vertical="center"/>
    </xf>
    <xf numFmtId="173" fontId="13" fillId="0" borderId="21" xfId="442" applyNumberFormat="1" applyFont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3" fontId="13" fillId="0" borderId="21" xfId="442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21" xfId="0" quotePrefix="1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3" fontId="17" fillId="0" borderId="21" xfId="442" applyNumberFormat="1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171" fontId="12" fillId="0" borderId="21" xfId="442" applyNumberFormat="1" applyFont="1" applyBorder="1" applyAlignment="1">
      <alignment horizontal="center" vertical="center" wrapText="1"/>
    </xf>
    <xf numFmtId="4" fontId="17" fillId="0" borderId="21" xfId="442" applyNumberFormat="1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3" fillId="0" borderId="39" xfId="0" applyFont="1" applyBorder="1" applyAlignment="1">
      <alignment vertical="center"/>
    </xf>
    <xf numFmtId="0" fontId="13" fillId="0" borderId="39" xfId="0" applyFont="1" applyBorder="1" applyAlignment="1">
      <alignment vertical="center" wrapText="1"/>
    </xf>
    <xf numFmtId="0" fontId="13" fillId="0" borderId="39" xfId="0" applyFont="1" applyBorder="1" applyAlignment="1">
      <alignment horizontal="center" vertical="center"/>
    </xf>
    <xf numFmtId="172" fontId="13" fillId="0" borderId="39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40" xfId="0" applyFont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23" fillId="0" borderId="41" xfId="0" applyFont="1" applyBorder="1" applyAlignment="1">
      <alignment vertical="center"/>
    </xf>
    <xf numFmtId="0" fontId="23" fillId="0" borderId="41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left" vertical="center" wrapText="1"/>
    </xf>
    <xf numFmtId="0" fontId="24" fillId="0" borderId="21" xfId="0" applyFont="1" applyFill="1" applyBorder="1" applyAlignment="1">
      <alignment horizontal="center" vertical="center" wrapText="1"/>
    </xf>
    <xf numFmtId="174" fontId="24" fillId="0" borderId="21" xfId="0" applyNumberFormat="1" applyFont="1" applyBorder="1" applyAlignment="1">
      <alignment horizontal="center" vertical="center" wrapText="1"/>
    </xf>
    <xf numFmtId="3" fontId="24" fillId="0" borderId="21" xfId="0" applyNumberFormat="1" applyFont="1" applyBorder="1" applyAlignment="1">
      <alignment horizontal="center" vertical="center" wrapText="1"/>
    </xf>
    <xf numFmtId="0" fontId="24" fillId="48" borderId="21" xfId="0" applyFont="1" applyFill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2" fontId="24" fillId="0" borderId="21" xfId="0" applyNumberFormat="1" applyFont="1" applyBorder="1" applyAlignment="1">
      <alignment horizontal="center" vertical="center" wrapText="1"/>
    </xf>
    <xf numFmtId="174" fontId="24" fillId="0" borderId="21" xfId="0" applyNumberFormat="1" applyFont="1" applyFill="1" applyBorder="1" applyAlignment="1">
      <alignment horizontal="center" vertical="center" wrapText="1"/>
    </xf>
    <xf numFmtId="0" fontId="24" fillId="0" borderId="21" xfId="0" quotePrefix="1" applyFont="1" applyBorder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0" fontId="13" fillId="0" borderId="42" xfId="0" applyFont="1" applyFill="1" applyBorder="1" applyAlignment="1">
      <alignment vertical="center"/>
    </xf>
    <xf numFmtId="4" fontId="24" fillId="0" borderId="21" xfId="0" applyNumberFormat="1" applyFont="1" applyFill="1" applyBorder="1" applyAlignment="1">
      <alignment horizontal="center" vertical="center" wrapText="1"/>
    </xf>
    <xf numFmtId="3" fontId="24" fillId="0" borderId="21" xfId="0" applyNumberFormat="1" applyFont="1" applyFill="1" applyBorder="1" applyAlignment="1">
      <alignment horizontal="center" vertical="center" wrapText="1"/>
    </xf>
    <xf numFmtId="2" fontId="24" fillId="0" borderId="21" xfId="0" applyNumberFormat="1" applyFont="1" applyFill="1" applyBorder="1" applyAlignment="1">
      <alignment horizontal="center" vertical="center" wrapText="1"/>
    </xf>
    <xf numFmtId="49" fontId="24" fillId="0" borderId="21" xfId="0" applyNumberFormat="1" applyFont="1" applyFill="1" applyBorder="1" applyAlignment="1">
      <alignment horizontal="center" vertical="center" wrapText="1"/>
    </xf>
    <xf numFmtId="172" fontId="24" fillId="0" borderId="21" xfId="0" applyNumberFormat="1" applyFont="1" applyFill="1" applyBorder="1" applyAlignment="1">
      <alignment horizontal="center" vertical="center" wrapText="1"/>
    </xf>
    <xf numFmtId="173" fontId="4" fillId="0" borderId="21" xfId="442" applyNumberFormat="1" applyFont="1" applyBorder="1" applyAlignment="1">
      <alignment horizontal="center" vertical="center"/>
    </xf>
    <xf numFmtId="173" fontId="4" fillId="0" borderId="21" xfId="442" applyNumberFormat="1" applyFont="1" applyFill="1" applyBorder="1" applyAlignment="1">
      <alignment horizontal="center" vertical="center"/>
    </xf>
    <xf numFmtId="173" fontId="16" fillId="0" borderId="21" xfId="442" applyNumberFormat="1" applyFont="1" applyBorder="1" applyAlignment="1">
      <alignment horizontal="center" vertical="center"/>
    </xf>
    <xf numFmtId="3" fontId="4" fillId="0" borderId="21" xfId="442" applyNumberFormat="1" applyFont="1" applyBorder="1" applyAlignment="1">
      <alignment horizontal="center" vertical="center"/>
    </xf>
    <xf numFmtId="173" fontId="13" fillId="0" borderId="21" xfId="442" applyNumberFormat="1" applyFont="1" applyFill="1" applyBorder="1" applyAlignment="1">
      <alignment horizontal="center" vertical="center"/>
    </xf>
    <xf numFmtId="0" fontId="17" fillId="0" borderId="21" xfId="0" quotePrefix="1" applyFont="1" applyFill="1" applyBorder="1" applyAlignment="1">
      <alignment vertical="center" wrapText="1"/>
    </xf>
    <xf numFmtId="0" fontId="17" fillId="0" borderId="42" xfId="0" quotePrefix="1" applyFont="1" applyBorder="1" applyAlignment="1">
      <alignment vertical="center" wrapText="1"/>
    </xf>
    <xf numFmtId="0" fontId="16" fillId="0" borderId="42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vertical="center" wrapText="1"/>
    </xf>
    <xf numFmtId="172" fontId="26" fillId="0" borderId="21" xfId="442" applyNumberFormat="1" applyFont="1" applyBorder="1" applyAlignment="1">
      <alignment horizontal="center" vertical="center"/>
    </xf>
    <xf numFmtId="3" fontId="4" fillId="0" borderId="21" xfId="442" applyNumberFormat="1" applyFont="1" applyFill="1" applyBorder="1" applyAlignment="1">
      <alignment horizontal="center" vertical="center"/>
    </xf>
    <xf numFmtId="9" fontId="13" fillId="0" borderId="39" xfId="777" applyFont="1" applyBorder="1" applyAlignment="1">
      <alignment horizontal="center" vertical="center"/>
    </xf>
    <xf numFmtId="10" fontId="3" fillId="0" borderId="0" xfId="777" applyNumberFormat="1" applyFont="1" applyAlignment="1">
      <alignment vertical="center"/>
    </xf>
    <xf numFmtId="0" fontId="27" fillId="0" borderId="21" xfId="0" applyFont="1" applyBorder="1" applyAlignment="1">
      <alignment horizontal="center" vertical="center"/>
    </xf>
    <xf numFmtId="0" fontId="28" fillId="0" borderId="21" xfId="0" applyFont="1" applyBorder="1" applyAlignment="1">
      <alignment horizontal="left" vertical="center" wrapText="1"/>
    </xf>
    <xf numFmtId="3" fontId="28" fillId="0" borderId="21" xfId="442" applyNumberFormat="1" applyFont="1" applyBorder="1" applyAlignment="1">
      <alignment horizontal="center" vertical="center"/>
    </xf>
    <xf numFmtId="173" fontId="27" fillId="0" borderId="21" xfId="442" applyNumberFormat="1" applyFont="1" applyBorder="1" applyAlignment="1">
      <alignment horizontal="center" vertical="center"/>
    </xf>
    <xf numFmtId="4" fontId="28" fillId="0" borderId="21" xfId="442" applyNumberFormat="1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9" fillId="0" borderId="21" xfId="0" quotePrefix="1" applyFont="1" applyBorder="1" applyAlignment="1">
      <alignment horizontal="left" vertical="center" wrapText="1"/>
    </xf>
    <xf numFmtId="0" fontId="28" fillId="0" borderId="21" xfId="0" quotePrefix="1" applyFont="1" applyBorder="1" applyAlignment="1">
      <alignment horizontal="left" vertical="center" wrapText="1"/>
    </xf>
    <xf numFmtId="173" fontId="28" fillId="0" borderId="21" xfId="442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172" fontId="28" fillId="0" borderId="21" xfId="442" applyNumberFormat="1" applyFont="1" applyBorder="1" applyAlignment="1">
      <alignment horizontal="center" vertical="center"/>
    </xf>
    <xf numFmtId="0" fontId="4" fillId="0" borderId="21" xfId="0" quotePrefix="1" applyFont="1" applyBorder="1" applyAlignment="1">
      <alignment vertical="center" wrapText="1"/>
    </xf>
    <xf numFmtId="0" fontId="17" fillId="0" borderId="21" xfId="0" applyFont="1" applyBorder="1" applyAlignment="1">
      <alignment horizontal="left" vertical="center" wrapText="1"/>
    </xf>
    <xf numFmtId="173" fontId="17" fillId="0" borderId="21" xfId="442" applyNumberFormat="1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2" xfId="0" applyFont="1" applyBorder="1" applyAlignment="1">
      <alignment vertical="center"/>
    </xf>
    <xf numFmtId="173" fontId="17" fillId="0" borderId="21" xfId="442" applyNumberFormat="1" applyFont="1" applyFill="1" applyBorder="1" applyAlignment="1">
      <alignment horizontal="center" vertical="center"/>
    </xf>
    <xf numFmtId="174" fontId="24" fillId="48" borderId="21" xfId="0" applyNumberFormat="1" applyFont="1" applyFill="1" applyBorder="1" applyAlignment="1">
      <alignment horizontal="center" vertical="center" wrapText="1"/>
    </xf>
    <xf numFmtId="3" fontId="13" fillId="0" borderId="43" xfId="442" applyNumberFormat="1" applyFont="1" applyBorder="1" applyAlignment="1">
      <alignment horizontal="center" vertical="center"/>
    </xf>
    <xf numFmtId="173" fontId="4" fillId="0" borderId="44" xfId="442" applyNumberFormat="1" applyFont="1" applyFill="1" applyBorder="1" applyAlignment="1">
      <alignment horizontal="center" vertical="center"/>
    </xf>
    <xf numFmtId="172" fontId="28" fillId="0" borderId="43" xfId="442" applyNumberFormat="1" applyFont="1" applyBorder="1" applyAlignment="1">
      <alignment horizontal="center" vertical="center"/>
    </xf>
    <xf numFmtId="173" fontId="28" fillId="0" borderId="43" xfId="442" applyNumberFormat="1" applyFont="1" applyBorder="1" applyAlignment="1">
      <alignment horizontal="center" vertical="center"/>
    </xf>
    <xf numFmtId="173" fontId="4" fillId="0" borderId="43" xfId="442" applyNumberFormat="1" applyFont="1" applyFill="1" applyBorder="1" applyAlignment="1">
      <alignment horizontal="center" vertical="center"/>
    </xf>
    <xf numFmtId="4" fontId="28" fillId="0" borderId="43" xfId="442" applyNumberFormat="1" applyFont="1" applyBorder="1" applyAlignment="1">
      <alignment horizontal="center" vertical="center"/>
    </xf>
    <xf numFmtId="172" fontId="4" fillId="0" borderId="43" xfId="442" applyNumberFormat="1" applyFont="1" applyBorder="1" applyAlignment="1">
      <alignment horizontal="center" vertical="center"/>
    </xf>
    <xf numFmtId="4" fontId="17" fillId="0" borderId="43" xfId="442" applyNumberFormat="1" applyFont="1" applyBorder="1" applyAlignment="1">
      <alignment horizontal="center" vertical="center"/>
    </xf>
    <xf numFmtId="3" fontId="17" fillId="0" borderId="43" xfId="442" applyNumberFormat="1" applyFont="1" applyBorder="1" applyAlignment="1">
      <alignment horizontal="center" vertical="center"/>
    </xf>
    <xf numFmtId="172" fontId="13" fillId="0" borderId="43" xfId="442" applyNumberFormat="1" applyFont="1" applyBorder="1" applyAlignment="1">
      <alignment horizontal="center" vertical="center"/>
    </xf>
    <xf numFmtId="173" fontId="13" fillId="0" borderId="43" xfId="442" applyNumberFormat="1" applyFont="1" applyBorder="1" applyAlignment="1">
      <alignment horizontal="center" vertical="center"/>
    </xf>
    <xf numFmtId="172" fontId="17" fillId="0" borderId="43" xfId="442" applyNumberFormat="1" applyFont="1" applyBorder="1" applyAlignment="1">
      <alignment horizontal="center" vertical="center"/>
    </xf>
    <xf numFmtId="172" fontId="13" fillId="0" borderId="45" xfId="0" applyNumberFormat="1" applyFont="1" applyBorder="1" applyAlignment="1">
      <alignment horizontal="center" vertical="center"/>
    </xf>
    <xf numFmtId="173" fontId="30" fillId="0" borderId="43" xfId="442" applyNumberFormat="1" applyFont="1" applyBorder="1" applyAlignment="1">
      <alignment horizontal="center" vertical="center"/>
    </xf>
    <xf numFmtId="171" fontId="31" fillId="0" borderId="21" xfId="442" applyNumberFormat="1" applyFont="1" applyBorder="1" applyAlignment="1">
      <alignment horizontal="center" vertical="center" wrapText="1"/>
    </xf>
    <xf numFmtId="176" fontId="24" fillId="0" borderId="0" xfId="0" applyNumberFormat="1" applyFont="1" applyAlignment="1">
      <alignment vertical="center"/>
    </xf>
    <xf numFmtId="1" fontId="24" fillId="0" borderId="21" xfId="0" applyNumberFormat="1" applyFont="1" applyBorder="1" applyAlignment="1">
      <alignment horizontal="center" vertical="center" wrapText="1"/>
    </xf>
    <xf numFmtId="49" fontId="24" fillId="0" borderId="21" xfId="0" applyNumberFormat="1" applyFont="1" applyBorder="1" applyAlignment="1">
      <alignment horizontal="center" vertical="center" wrapText="1"/>
    </xf>
    <xf numFmtId="174" fontId="24" fillId="0" borderId="11" xfId="0" applyNumberFormat="1" applyFont="1" applyBorder="1" applyAlignment="1">
      <alignment horizontal="center" vertical="center" wrapText="1"/>
    </xf>
    <xf numFmtId="173" fontId="13" fillId="0" borderId="0" xfId="0" applyNumberFormat="1" applyFont="1" applyAlignment="1">
      <alignment vertical="center"/>
    </xf>
    <xf numFmtId="10" fontId="28" fillId="0" borderId="0" xfId="0" applyNumberFormat="1" applyFont="1" applyAlignment="1">
      <alignment vertical="center"/>
    </xf>
    <xf numFmtId="3" fontId="16" fillId="0" borderId="11" xfId="442" applyNumberFormat="1" applyFont="1" applyBorder="1" applyAlignment="1">
      <alignment horizontal="center" vertical="center"/>
    </xf>
    <xf numFmtId="172" fontId="26" fillId="0" borderId="43" xfId="442" applyNumberFormat="1" applyFont="1" applyBorder="1" applyAlignment="1">
      <alignment horizontal="center" vertical="center"/>
    </xf>
    <xf numFmtId="4" fontId="24" fillId="0" borderId="21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3" fontId="13" fillId="0" borderId="20" xfId="442" applyNumberFormat="1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0" fillId="0" borderId="1" xfId="0" applyBorder="1"/>
    <xf numFmtId="0" fontId="224" fillId="50" borderId="1" xfId="618" applyBorder="1"/>
    <xf numFmtId="0" fontId="223" fillId="49" borderId="1" xfId="418" applyBorder="1"/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9" fontId="0" fillId="0" borderId="1" xfId="0" applyNumberFormat="1" applyBorder="1"/>
    <xf numFmtId="4" fontId="9" fillId="0" borderId="1" xfId="442" applyNumberFormat="1" applyFont="1" applyBorder="1" applyAlignment="1">
      <alignment horizontal="center" vertical="center"/>
    </xf>
    <xf numFmtId="0" fontId="35" fillId="0" borderId="0" xfId="0" applyFont="1"/>
    <xf numFmtId="0" fontId="225" fillId="51" borderId="0" xfId="682"/>
    <xf numFmtId="0" fontId="61" fillId="0" borderId="0" xfId="0" applyFont="1"/>
    <xf numFmtId="0" fontId="62" fillId="0" borderId="0" xfId="0" applyFont="1"/>
    <xf numFmtId="174" fontId="62" fillId="0" borderId="0" xfId="0" applyNumberFormat="1" applyFont="1"/>
    <xf numFmtId="174" fontId="0" fillId="0" borderId="0" xfId="0" applyNumberFormat="1"/>
    <xf numFmtId="0" fontId="19" fillId="0" borderId="0" xfId="758" applyFont="1" applyFill="1" applyBorder="1" applyAlignment="1">
      <alignment horizontal="center" vertical="center" wrapText="1"/>
    </xf>
    <xf numFmtId="0" fontId="39" fillId="0" borderId="0" xfId="758" applyFont="1" applyFill="1" applyBorder="1" applyAlignment="1">
      <alignment horizontal="center" vertical="center" wrapText="1"/>
    </xf>
    <xf numFmtId="0" fontId="19" fillId="0" borderId="1" xfId="758" applyFont="1" applyFill="1" applyBorder="1" applyAlignment="1">
      <alignment horizontal="center" vertical="center" wrapText="1"/>
    </xf>
    <xf numFmtId="0" fontId="19" fillId="0" borderId="20" xfId="758" applyFont="1" applyFill="1" applyBorder="1" applyAlignment="1">
      <alignment vertical="center" wrapText="1"/>
    </xf>
    <xf numFmtId="3" fontId="23" fillId="0" borderId="20" xfId="758" applyNumberFormat="1" applyFont="1" applyFill="1" applyBorder="1" applyAlignment="1">
      <alignment horizontal="center" vertical="center" wrapText="1"/>
    </xf>
    <xf numFmtId="0" fontId="23" fillId="0" borderId="20" xfId="758" applyFont="1" applyFill="1" applyBorder="1" applyAlignment="1">
      <alignment horizontal="center" vertical="center" wrapText="1"/>
    </xf>
    <xf numFmtId="3" fontId="23" fillId="0" borderId="20" xfId="758" applyNumberFormat="1" applyFont="1" applyFill="1" applyBorder="1" applyAlignment="1">
      <alignment horizontal="center" vertical="center"/>
    </xf>
    <xf numFmtId="0" fontId="19" fillId="0" borderId="0" xfId="758" applyFont="1" applyFill="1" applyAlignment="1">
      <alignment vertical="center"/>
    </xf>
    <xf numFmtId="3" fontId="23" fillId="0" borderId="21" xfId="758" applyNumberFormat="1" applyFont="1" applyFill="1" applyBorder="1" applyAlignment="1">
      <alignment horizontal="center" vertical="center" wrapText="1"/>
    </xf>
    <xf numFmtId="0" fontId="19" fillId="0" borderId="21" xfId="758" applyFont="1" applyFill="1" applyBorder="1" applyAlignment="1">
      <alignment vertical="center" wrapText="1"/>
    </xf>
    <xf numFmtId="0" fontId="19" fillId="0" borderId="21" xfId="758" applyFont="1" applyFill="1" applyBorder="1" applyAlignment="1">
      <alignment horizontal="center" vertical="center" wrapText="1"/>
    </xf>
    <xf numFmtId="3" fontId="23" fillId="0" borderId="21" xfId="758" applyNumberFormat="1" applyFont="1" applyFill="1" applyBorder="1" applyAlignment="1">
      <alignment horizontal="center" vertical="center"/>
    </xf>
    <xf numFmtId="0" fontId="41" fillId="0" borderId="21" xfId="758" applyFont="1" applyFill="1" applyBorder="1" applyAlignment="1">
      <alignment vertical="center" wrapText="1"/>
    </xf>
    <xf numFmtId="0" fontId="41" fillId="0" borderId="21" xfId="758" applyFont="1" applyFill="1" applyBorder="1" applyAlignment="1">
      <alignment horizontal="center" vertical="center" wrapText="1"/>
    </xf>
    <xf numFmtId="0" fontId="23" fillId="0" borderId="0" xfId="758" applyFont="1" applyFill="1"/>
    <xf numFmtId="0" fontId="23" fillId="0" borderId="1" xfId="758" applyFont="1" applyFill="1" applyBorder="1" applyAlignment="1">
      <alignment horizontal="center" vertical="center" wrapText="1"/>
    </xf>
    <xf numFmtId="0" fontId="23" fillId="0" borderId="21" xfId="758" applyFont="1" applyFill="1" applyBorder="1" applyAlignment="1">
      <alignment vertical="center" wrapText="1"/>
    </xf>
    <xf numFmtId="0" fontId="23" fillId="0" borderId="21" xfId="758" applyFont="1" applyFill="1" applyBorder="1" applyAlignment="1">
      <alignment horizontal="center" vertical="center" wrapText="1"/>
    </xf>
    <xf numFmtId="0" fontId="23" fillId="0" borderId="0" xfId="758" applyFont="1" applyFill="1" applyAlignment="1">
      <alignment vertical="center"/>
    </xf>
    <xf numFmtId="3" fontId="63" fillId="0" borderId="21" xfId="758" applyNumberFormat="1" applyFont="1" applyFill="1" applyBorder="1" applyAlignment="1">
      <alignment horizontal="center" vertical="center"/>
    </xf>
    <xf numFmtId="3" fontId="19" fillId="0" borderId="21" xfId="758" applyNumberFormat="1" applyFont="1" applyFill="1" applyBorder="1" applyAlignment="1">
      <alignment horizontal="center" vertical="center"/>
    </xf>
    <xf numFmtId="0" fontId="23" fillId="0" borderId="39" xfId="758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23" fillId="30" borderId="31" xfId="758" applyFont="1" applyFill="1" applyBorder="1" applyAlignment="1">
      <alignment horizontal="center" vertical="center" wrapText="1"/>
    </xf>
    <xf numFmtId="0" fontId="19" fillId="30" borderId="31" xfId="758" applyFont="1" applyFill="1" applyBorder="1" applyAlignment="1">
      <alignment horizontal="center" vertical="center" wrapText="1"/>
    </xf>
    <xf numFmtId="0" fontId="8" fillId="30" borderId="31" xfId="0" applyFont="1" applyFill="1" applyBorder="1" applyAlignment="1">
      <alignment horizontal="center" vertical="center" wrapText="1"/>
    </xf>
    <xf numFmtId="0" fontId="23" fillId="30" borderId="0" xfId="758" applyFont="1" applyFill="1"/>
    <xf numFmtId="0" fontId="41" fillId="0" borderId="39" xfId="758" applyFont="1" applyFill="1" applyBorder="1" applyAlignment="1">
      <alignment vertical="center" wrapText="1"/>
    </xf>
    <xf numFmtId="3" fontId="23" fillId="0" borderId="39" xfId="758" applyNumberFormat="1" applyFont="1" applyFill="1" applyBorder="1" applyAlignment="1">
      <alignment horizontal="center" vertical="center"/>
    </xf>
    <xf numFmtId="0" fontId="19" fillId="0" borderId="39" xfId="758" applyFont="1" applyFill="1" applyBorder="1" applyAlignment="1">
      <alignment horizontal="center" vertical="center" wrapText="1"/>
    </xf>
    <xf numFmtId="3" fontId="19" fillId="0" borderId="39" xfId="758" applyNumberFormat="1" applyFont="1" applyFill="1" applyBorder="1" applyAlignment="1">
      <alignment horizontal="center" vertical="center"/>
    </xf>
    <xf numFmtId="0" fontId="19" fillId="30" borderId="0" xfId="758" applyFont="1" applyFill="1"/>
    <xf numFmtId="0" fontId="38" fillId="0" borderId="0" xfId="758" applyFont="1" applyFill="1" applyAlignment="1">
      <alignment horizontal="right" vertical="center"/>
    </xf>
    <xf numFmtId="3" fontId="23" fillId="0" borderId="43" xfId="758" applyNumberFormat="1" applyFont="1" applyFill="1" applyBorder="1" applyAlignment="1">
      <alignment horizontal="center" vertical="center" wrapText="1"/>
    </xf>
    <xf numFmtId="3" fontId="23" fillId="0" borderId="43" xfId="758" applyNumberFormat="1" applyFont="1" applyFill="1" applyBorder="1" applyAlignment="1">
      <alignment horizontal="center" vertical="center"/>
    </xf>
    <xf numFmtId="0" fontId="19" fillId="30" borderId="10" xfId="758" applyFont="1" applyFill="1" applyBorder="1" applyAlignment="1">
      <alignment horizontal="center" vertical="center" wrapText="1"/>
    </xf>
    <xf numFmtId="3" fontId="23" fillId="0" borderId="46" xfId="758" applyNumberFormat="1" applyFont="1" applyFill="1" applyBorder="1" applyAlignment="1">
      <alignment horizontal="center" vertical="center" wrapText="1"/>
    </xf>
    <xf numFmtId="0" fontId="23" fillId="0" borderId="46" xfId="758" applyFont="1" applyFill="1" applyBorder="1" applyAlignment="1">
      <alignment horizontal="center" vertical="center" wrapText="1"/>
    </xf>
    <xf numFmtId="3" fontId="23" fillId="0" borderId="46" xfId="758" applyNumberFormat="1" applyFont="1" applyFill="1" applyBorder="1" applyAlignment="1">
      <alignment horizontal="center" vertical="center"/>
    </xf>
    <xf numFmtId="3" fontId="23" fillId="0" borderId="47" xfId="758" applyNumberFormat="1" applyFont="1" applyFill="1" applyBorder="1" applyAlignment="1">
      <alignment horizontal="center" vertical="center" wrapText="1"/>
    </xf>
    <xf numFmtId="3" fontId="23" fillId="0" borderId="48" xfId="758" applyNumberFormat="1" applyFont="1" applyFill="1" applyBorder="1" applyAlignment="1">
      <alignment horizontal="center" vertical="center" wrapText="1"/>
    </xf>
    <xf numFmtId="3" fontId="23" fillId="0" borderId="48" xfId="758" applyNumberFormat="1" applyFont="1" applyFill="1" applyBorder="1" applyAlignment="1">
      <alignment horizontal="center" vertical="center"/>
    </xf>
    <xf numFmtId="3" fontId="23" fillId="0" borderId="49" xfId="758" applyNumberFormat="1" applyFont="1" applyFill="1" applyBorder="1" applyAlignment="1">
      <alignment horizontal="center" vertical="center"/>
    </xf>
    <xf numFmtId="3" fontId="23" fillId="0" borderId="47" xfId="758" applyNumberFormat="1" applyFont="1" applyFill="1" applyBorder="1" applyAlignment="1">
      <alignment horizontal="center" vertical="center"/>
    </xf>
    <xf numFmtId="0" fontId="8" fillId="30" borderId="10" xfId="0" applyFont="1" applyFill="1" applyBorder="1" applyAlignment="1">
      <alignment horizontal="center" vertical="center" wrapText="1"/>
    </xf>
    <xf numFmtId="3" fontId="23" fillId="0" borderId="3" xfId="758" applyNumberFormat="1" applyFont="1" applyFill="1" applyBorder="1" applyAlignment="1">
      <alignment horizontal="center" vertical="center"/>
    </xf>
    <xf numFmtId="0" fontId="19" fillId="0" borderId="47" xfId="758" applyFont="1" applyFill="1" applyBorder="1" applyAlignment="1">
      <alignment horizontal="center" vertical="center"/>
    </xf>
    <xf numFmtId="0" fontId="19" fillId="0" borderId="48" xfId="758" applyFont="1" applyFill="1" applyBorder="1" applyAlignment="1">
      <alignment horizontal="center" vertical="center"/>
    </xf>
    <xf numFmtId="3" fontId="23" fillId="0" borderId="43" xfId="758" applyNumberFormat="1" applyFont="1" applyFill="1" applyBorder="1" applyAlignment="1">
      <alignment vertical="center"/>
    </xf>
    <xf numFmtId="3" fontId="23" fillId="0" borderId="49" xfId="758" applyNumberFormat="1" applyFont="1" applyFill="1" applyBorder="1" applyAlignment="1">
      <alignment horizontal="center" vertical="center" wrapText="1"/>
    </xf>
    <xf numFmtId="0" fontId="19" fillId="0" borderId="49" xfId="758" applyFont="1" applyFill="1" applyBorder="1" applyAlignment="1">
      <alignment horizontal="center" vertical="center"/>
    </xf>
    <xf numFmtId="0" fontId="38" fillId="0" borderId="0" xfId="758" applyFont="1" applyFill="1" applyAlignment="1">
      <alignment vertical="center"/>
    </xf>
    <xf numFmtId="3" fontId="23" fillId="0" borderId="50" xfId="758" applyNumberFormat="1" applyFont="1" applyFill="1" applyBorder="1" applyAlignment="1">
      <alignment horizontal="right" vertical="center"/>
    </xf>
    <xf numFmtId="3" fontId="23" fillId="0" borderId="46" xfId="758" applyNumberFormat="1" applyFont="1" applyFill="1" applyBorder="1" applyAlignment="1">
      <alignment horizontal="right" vertical="center"/>
    </xf>
    <xf numFmtId="3" fontId="23" fillId="0" borderId="50" xfId="758" applyNumberFormat="1" applyFont="1" applyFill="1" applyBorder="1" applyAlignment="1">
      <alignment horizontal="right" vertical="center" wrapText="1"/>
    </xf>
    <xf numFmtId="3" fontId="23" fillId="0" borderId="46" xfId="758" applyNumberFormat="1" applyFont="1" applyFill="1" applyBorder="1" applyAlignment="1">
      <alignment horizontal="right" vertical="center" wrapText="1"/>
    </xf>
    <xf numFmtId="3" fontId="23" fillId="0" borderId="51" xfId="758" applyNumberFormat="1" applyFont="1" applyFill="1" applyBorder="1" applyAlignment="1">
      <alignment horizontal="left" vertical="center" wrapText="1"/>
    </xf>
    <xf numFmtId="3" fontId="23" fillId="0" borderId="43" xfId="758" applyNumberFormat="1" applyFont="1" applyFill="1" applyBorder="1" applyAlignment="1">
      <alignment horizontal="left" vertical="center" wrapText="1"/>
    </xf>
    <xf numFmtId="3" fontId="23" fillId="0" borderId="51" xfId="758" applyNumberFormat="1" applyFont="1" applyFill="1" applyBorder="1" applyAlignment="1">
      <alignment horizontal="left" vertical="center"/>
    </xf>
    <xf numFmtId="3" fontId="23" fillId="0" borderId="43" xfId="758" applyNumberFormat="1" applyFont="1" applyFill="1" applyBorder="1" applyAlignment="1">
      <alignment horizontal="left" vertical="center"/>
    </xf>
    <xf numFmtId="3" fontId="23" fillId="0" borderId="45" xfId="758" applyNumberFormat="1" applyFont="1" applyFill="1" applyBorder="1" applyAlignment="1">
      <alignment horizontal="left" vertical="center"/>
    </xf>
    <xf numFmtId="3" fontId="23" fillId="0" borderId="45" xfId="758" applyNumberFormat="1" applyFont="1" applyFill="1" applyBorder="1" applyAlignment="1">
      <alignment horizontal="left" vertical="center" wrapText="1"/>
    </xf>
    <xf numFmtId="3" fontId="23" fillId="0" borderId="52" xfId="758" applyNumberFormat="1" applyFont="1" applyFill="1" applyBorder="1" applyAlignment="1">
      <alignment horizontal="right" vertical="center" wrapText="1"/>
    </xf>
    <xf numFmtId="3" fontId="23" fillId="0" borderId="52" xfId="758" applyNumberFormat="1" applyFont="1" applyFill="1" applyBorder="1" applyAlignment="1">
      <alignment horizontal="right" vertical="center"/>
    </xf>
    <xf numFmtId="0" fontId="71" fillId="52" borderId="0" xfId="727" applyFont="1" applyFill="1" applyAlignment="1">
      <alignment vertical="center" wrapText="1"/>
    </xf>
    <xf numFmtId="0" fontId="24" fillId="52" borderId="0" xfId="727" applyFont="1" applyFill="1" applyAlignment="1">
      <alignment vertical="center" wrapText="1"/>
    </xf>
    <xf numFmtId="0" fontId="24" fillId="52" borderId="0" xfId="727" applyFont="1" applyFill="1" applyAlignment="1">
      <alignment horizontal="center" vertical="center" wrapText="1"/>
    </xf>
    <xf numFmtId="0" fontId="24" fillId="52" borderId="0" xfId="727" applyFont="1" applyFill="1" applyBorder="1" applyAlignment="1">
      <alignment vertical="center" wrapText="1"/>
    </xf>
    <xf numFmtId="0" fontId="64" fillId="52" borderId="0" xfId="727" applyNumberFormat="1" applyFont="1" applyFill="1" applyBorder="1" applyAlignment="1">
      <alignment horizontal="right" vertical="center" wrapText="1"/>
    </xf>
    <xf numFmtId="0" fontId="65" fillId="52" borderId="1" xfId="727" applyFont="1" applyFill="1" applyBorder="1" applyAlignment="1">
      <alignment horizontal="center" vertical="center" wrapText="1"/>
    </xf>
    <xf numFmtId="0" fontId="65" fillId="52" borderId="1" xfId="727" applyNumberFormat="1" applyFont="1" applyFill="1" applyBorder="1" applyAlignment="1">
      <alignment horizontal="center" vertical="center" wrapText="1"/>
    </xf>
    <xf numFmtId="0" fontId="65" fillId="52" borderId="0" xfId="727" applyFont="1" applyFill="1" applyAlignment="1">
      <alignment vertical="center" wrapText="1"/>
    </xf>
    <xf numFmtId="0" fontId="65" fillId="52" borderId="11" xfId="727" applyFont="1" applyFill="1" applyBorder="1" applyAlignment="1">
      <alignment horizontal="center" vertical="center" wrapText="1"/>
    </xf>
    <xf numFmtId="0" fontId="65" fillId="52" borderId="11" xfId="727" applyFont="1" applyFill="1" applyBorder="1" applyAlignment="1">
      <alignment vertical="center" wrapText="1"/>
    </xf>
    <xf numFmtId="3" fontId="65" fillId="52" borderId="11" xfId="727" applyNumberFormat="1" applyFont="1" applyFill="1" applyBorder="1" applyAlignment="1">
      <alignment vertical="center" wrapText="1"/>
    </xf>
    <xf numFmtId="0" fontId="24" fillId="52" borderId="21" xfId="727" applyFont="1" applyFill="1" applyBorder="1" applyAlignment="1">
      <alignment horizontal="center" vertical="center" wrapText="1"/>
    </xf>
    <xf numFmtId="172" fontId="24" fillId="52" borderId="0" xfId="727" applyNumberFormat="1" applyFont="1" applyFill="1" applyAlignment="1">
      <alignment horizontal="left" vertical="center" wrapText="1"/>
    </xf>
    <xf numFmtId="0" fontId="24" fillId="52" borderId="0" xfId="727" applyFont="1" applyFill="1" applyAlignment="1">
      <alignment horizontal="right" vertical="center" wrapText="1"/>
    </xf>
    <xf numFmtId="0" fontId="24" fillId="52" borderId="0" xfId="727" applyFont="1" applyFill="1" applyAlignment="1">
      <alignment horizontal="left" vertical="center" wrapText="1"/>
    </xf>
    <xf numFmtId="0" fontId="64" fillId="52" borderId="21" xfId="727" applyFont="1" applyFill="1" applyBorder="1" applyAlignment="1">
      <alignment horizontal="center" vertical="center" wrapText="1"/>
    </xf>
    <xf numFmtId="0" fontId="64" fillId="52" borderId="0" xfId="727" applyFont="1" applyFill="1" applyAlignment="1">
      <alignment horizontal="left" vertical="center" wrapText="1"/>
    </xf>
    <xf numFmtId="0" fontId="64" fillId="52" borderId="0" xfId="727" applyFont="1" applyFill="1" applyAlignment="1">
      <alignment horizontal="right" vertical="center" wrapText="1"/>
    </xf>
    <xf numFmtId="0" fontId="64" fillId="52" borderId="0" xfId="727" applyFont="1" applyFill="1" applyAlignment="1">
      <alignment vertical="center" wrapText="1"/>
    </xf>
    <xf numFmtId="0" fontId="11" fillId="52" borderId="21" xfId="727" applyFont="1" applyFill="1" applyBorder="1" applyAlignment="1">
      <alignment horizontal="center" vertical="center" wrapText="1"/>
    </xf>
    <xf numFmtId="0" fontId="11" fillId="52" borderId="46" xfId="727" applyFont="1" applyFill="1" applyBorder="1" applyAlignment="1">
      <alignment horizontal="center" vertical="center" wrapText="1"/>
    </xf>
    <xf numFmtId="0" fontId="11" fillId="52" borderId="43" xfId="727" applyNumberFormat="1" applyFont="1" applyFill="1" applyBorder="1" applyAlignment="1">
      <alignment vertical="center" wrapText="1"/>
    </xf>
    <xf numFmtId="1" fontId="11" fillId="52" borderId="21" xfId="727" applyNumberFormat="1" applyFont="1" applyFill="1" applyBorder="1" applyAlignment="1">
      <alignment horizontal="right" vertical="center" wrapText="1"/>
    </xf>
    <xf numFmtId="0" fontId="66" fillId="52" borderId="21" xfId="727" applyFont="1" applyFill="1" applyBorder="1" applyAlignment="1">
      <alignment horizontal="center" vertical="center" wrapText="1"/>
    </xf>
    <xf numFmtId="0" fontId="66" fillId="52" borderId="46" xfId="727" applyFont="1" applyFill="1" applyBorder="1" applyAlignment="1">
      <alignment horizontal="center" vertical="center" wrapText="1"/>
    </xf>
    <xf numFmtId="0" fontId="66" fillId="52" borderId="43" xfId="727" applyNumberFormat="1" applyFont="1" applyFill="1" applyBorder="1" applyAlignment="1">
      <alignment vertical="center" wrapText="1"/>
    </xf>
    <xf numFmtId="1" fontId="24" fillId="52" borderId="0" xfId="727" applyNumberFormat="1" applyFont="1" applyFill="1" applyAlignment="1">
      <alignment vertical="center" wrapText="1"/>
    </xf>
    <xf numFmtId="0" fontId="66" fillId="52" borderId="46" xfId="727" applyFont="1" applyFill="1" applyBorder="1" applyAlignment="1">
      <alignment horizontal="right" vertical="center" wrapText="1"/>
    </xf>
    <xf numFmtId="0" fontId="11" fillId="52" borderId="46" xfId="727" applyFont="1" applyFill="1" applyBorder="1" applyAlignment="1">
      <alignment horizontal="right" vertical="center" wrapText="1"/>
    </xf>
    <xf numFmtId="1" fontId="11" fillId="52" borderId="21" xfId="727" applyNumberFormat="1" applyFont="1" applyFill="1" applyBorder="1" applyAlignment="1">
      <alignment horizontal="left" vertical="center" wrapText="1"/>
    </xf>
    <xf numFmtId="1" fontId="24" fillId="52" borderId="0" xfId="727" applyNumberFormat="1" applyFont="1" applyFill="1" applyAlignment="1">
      <alignment horizontal="left" vertical="center" wrapText="1"/>
    </xf>
    <xf numFmtId="0" fontId="66" fillId="52" borderId="53" xfId="727" applyFont="1" applyFill="1" applyBorder="1" applyAlignment="1">
      <alignment horizontal="center" vertical="center" wrapText="1"/>
    </xf>
    <xf numFmtId="3" fontId="11" fillId="52" borderId="21" xfId="727" applyNumberFormat="1" applyFont="1" applyFill="1" applyBorder="1" applyAlignment="1">
      <alignment horizontal="right" vertical="center" wrapText="1"/>
    </xf>
    <xf numFmtId="0" fontId="24" fillId="52" borderId="52" xfId="727" applyFont="1" applyFill="1" applyBorder="1" applyAlignment="1">
      <alignment horizontal="center" vertical="center" wrapText="1"/>
    </xf>
    <xf numFmtId="0" fontId="24" fillId="52" borderId="54" xfId="727" applyFont="1" applyFill="1" applyBorder="1" applyAlignment="1">
      <alignment horizontal="center" vertical="center" wrapText="1"/>
    </xf>
    <xf numFmtId="0" fontId="24" fillId="52" borderId="45" xfId="727" applyFont="1" applyFill="1" applyBorder="1" applyAlignment="1">
      <alignment vertical="center" wrapText="1"/>
    </xf>
    <xf numFmtId="174" fontId="24" fillId="52" borderId="39" xfId="727" applyNumberFormat="1" applyFont="1" applyFill="1" applyBorder="1" applyAlignment="1">
      <alignment vertical="center" wrapText="1"/>
    </xf>
    <xf numFmtId="0" fontId="24" fillId="52" borderId="39" xfId="727" applyFont="1" applyFill="1" applyBorder="1" applyAlignment="1">
      <alignment vertical="center" wrapText="1"/>
    </xf>
    <xf numFmtId="0" fontId="73" fillId="52" borderId="0" xfId="727" applyFont="1" applyFill="1" applyAlignment="1">
      <alignment vertical="center" wrapText="1"/>
    </xf>
    <xf numFmtId="0" fontId="65" fillId="52" borderId="0" xfId="757" applyFont="1" applyFill="1" applyAlignment="1">
      <alignment horizontal="center" vertical="center"/>
    </xf>
    <xf numFmtId="0" fontId="24" fillId="52" borderId="0" xfId="757" applyFont="1" applyFill="1" applyAlignment="1">
      <alignment vertical="center"/>
    </xf>
    <xf numFmtId="0" fontId="65" fillId="52" borderId="0" xfId="757" applyFont="1" applyFill="1" applyAlignment="1">
      <alignment horizontal="center" vertical="center" wrapText="1"/>
    </xf>
    <xf numFmtId="172" fontId="65" fillId="52" borderId="0" xfId="757" applyNumberFormat="1" applyFont="1" applyFill="1" applyAlignment="1">
      <alignment horizontal="center" vertical="center"/>
    </xf>
    <xf numFmtId="171" fontId="65" fillId="52" borderId="0" xfId="471" applyNumberFormat="1" applyFont="1" applyFill="1" applyAlignment="1">
      <alignment horizontal="center" vertical="center"/>
    </xf>
    <xf numFmtId="0" fontId="24" fillId="52" borderId="5" xfId="757" applyFont="1" applyFill="1" applyBorder="1" applyAlignment="1">
      <alignment horizontal="center" vertical="center"/>
    </xf>
    <xf numFmtId="49" fontId="24" fillId="52" borderId="5" xfId="757" applyNumberFormat="1" applyFont="1" applyFill="1" applyBorder="1" applyAlignment="1">
      <alignment vertical="center" wrapText="1"/>
    </xf>
    <xf numFmtId="172" fontId="24" fillId="52" borderId="0" xfId="757" applyNumberFormat="1" applyFont="1" applyFill="1" applyAlignment="1">
      <alignment vertical="center" wrapText="1"/>
    </xf>
    <xf numFmtId="49" fontId="24" fillId="52" borderId="0" xfId="757" applyNumberFormat="1" applyFont="1" applyFill="1" applyAlignment="1">
      <alignment vertical="center" wrapText="1"/>
    </xf>
    <xf numFmtId="43" fontId="24" fillId="52" borderId="0" xfId="509" applyFont="1" applyFill="1" applyAlignment="1">
      <alignment vertical="center"/>
    </xf>
    <xf numFmtId="171" fontId="24" fillId="52" borderId="0" xfId="471" applyNumberFormat="1" applyFont="1" applyFill="1" applyAlignment="1">
      <alignment vertical="center"/>
    </xf>
    <xf numFmtId="0" fontId="65" fillId="52" borderId="1" xfId="757" applyFont="1" applyFill="1" applyBorder="1" applyAlignment="1">
      <alignment horizontal="center" vertical="center" wrapText="1"/>
    </xf>
    <xf numFmtId="49" fontId="65" fillId="52" borderId="1" xfId="757" applyNumberFormat="1" applyFont="1" applyFill="1" applyBorder="1" applyAlignment="1">
      <alignment horizontal="center" vertical="center" wrapText="1"/>
    </xf>
    <xf numFmtId="172" fontId="65" fillId="52" borderId="1" xfId="757" applyNumberFormat="1" applyFont="1" applyFill="1" applyBorder="1" applyAlignment="1">
      <alignment horizontal="center" vertical="center" wrapText="1"/>
    </xf>
    <xf numFmtId="1" fontId="65" fillId="52" borderId="1" xfId="757" applyNumberFormat="1" applyFont="1" applyFill="1" applyBorder="1" applyAlignment="1">
      <alignment horizontal="center" vertical="center" wrapText="1"/>
    </xf>
    <xf numFmtId="1" fontId="65" fillId="52" borderId="1" xfId="509" applyNumberFormat="1" applyFont="1" applyFill="1" applyBorder="1" applyAlignment="1">
      <alignment horizontal="center" vertical="center" wrapText="1"/>
    </xf>
    <xf numFmtId="1" fontId="65" fillId="52" borderId="1" xfId="471" applyNumberFormat="1" applyFont="1" applyFill="1" applyBorder="1" applyAlignment="1">
      <alignment horizontal="center" vertical="center" wrapText="1"/>
    </xf>
    <xf numFmtId="1" fontId="65" fillId="52" borderId="0" xfId="471" applyNumberFormat="1" applyFont="1" applyFill="1" applyBorder="1" applyAlignment="1">
      <alignment horizontal="center" vertical="center" wrapText="1"/>
    </xf>
    <xf numFmtId="0" fontId="65" fillId="52" borderId="0" xfId="757" applyFont="1" applyFill="1" applyAlignment="1">
      <alignment vertical="center" wrapText="1"/>
    </xf>
    <xf numFmtId="0" fontId="65" fillId="52" borderId="11" xfId="757" applyFont="1" applyFill="1" applyBorder="1" applyAlignment="1">
      <alignment horizontal="center" vertical="center"/>
    </xf>
    <xf numFmtId="49" fontId="65" fillId="52" borderId="11" xfId="757" applyNumberFormat="1" applyFont="1" applyFill="1" applyBorder="1" applyAlignment="1">
      <alignment horizontal="center" vertical="center" wrapText="1"/>
    </xf>
    <xf numFmtId="172" fontId="65" fillId="52" borderId="11" xfId="757" applyNumberFormat="1" applyFont="1" applyFill="1" applyBorder="1" applyAlignment="1">
      <alignment horizontal="center" vertical="center" wrapText="1"/>
    </xf>
    <xf numFmtId="172" fontId="65" fillId="52" borderId="11" xfId="509" applyNumberFormat="1" applyFont="1" applyFill="1" applyBorder="1" applyAlignment="1">
      <alignment vertical="center"/>
    </xf>
    <xf numFmtId="171" fontId="65" fillId="52" borderId="11" xfId="509" applyNumberFormat="1" applyFont="1" applyFill="1" applyBorder="1" applyAlignment="1">
      <alignment vertical="center"/>
    </xf>
    <xf numFmtId="175" fontId="65" fillId="52" borderId="11" xfId="471" applyNumberFormat="1" applyFont="1" applyFill="1" applyBorder="1" applyAlignment="1">
      <alignment vertical="center"/>
    </xf>
    <xf numFmtId="175" fontId="65" fillId="52" borderId="0" xfId="471" applyNumberFormat="1" applyFont="1" applyFill="1" applyBorder="1" applyAlignment="1">
      <alignment vertical="center"/>
    </xf>
    <xf numFmtId="0" fontId="65" fillId="52" borderId="0" xfId="757" applyFont="1" applyFill="1" applyAlignment="1">
      <alignment vertical="center"/>
    </xf>
    <xf numFmtId="3" fontId="65" fillId="52" borderId="0" xfId="757" applyNumberFormat="1" applyFont="1" applyFill="1" applyAlignment="1">
      <alignment vertical="center"/>
    </xf>
    <xf numFmtId="0" fontId="65" fillId="52" borderId="21" xfId="757" applyFont="1" applyFill="1" applyBorder="1" applyAlignment="1">
      <alignment horizontal="center" vertical="center"/>
    </xf>
    <xf numFmtId="49" fontId="65" fillId="52" borderId="21" xfId="757" applyNumberFormat="1" applyFont="1" applyFill="1" applyBorder="1" applyAlignment="1">
      <alignment horizontal="right" vertical="center" wrapText="1"/>
    </xf>
    <xf numFmtId="172" fontId="65" fillId="52" borderId="21" xfId="757" applyNumberFormat="1" applyFont="1" applyFill="1" applyBorder="1" applyAlignment="1">
      <alignment vertical="center" wrapText="1"/>
    </xf>
    <xf numFmtId="172" fontId="65" fillId="52" borderId="21" xfId="509" applyNumberFormat="1" applyFont="1" applyFill="1" applyBorder="1" applyAlignment="1">
      <alignment horizontal="left" vertical="center"/>
    </xf>
    <xf numFmtId="172" fontId="65" fillId="52" borderId="21" xfId="509" applyNumberFormat="1" applyFont="1" applyFill="1" applyBorder="1" applyAlignment="1">
      <alignment vertical="center"/>
    </xf>
    <xf numFmtId="171" fontId="65" fillId="52" borderId="21" xfId="509" applyNumberFormat="1" applyFont="1" applyFill="1" applyBorder="1" applyAlignment="1">
      <alignment vertical="center"/>
    </xf>
    <xf numFmtId="171" fontId="65" fillId="52" borderId="21" xfId="471" applyNumberFormat="1" applyFont="1" applyFill="1" applyBorder="1" applyAlignment="1">
      <alignment vertical="center"/>
    </xf>
    <xf numFmtId="171" fontId="65" fillId="52" borderId="0" xfId="471" applyNumberFormat="1" applyFont="1" applyFill="1" applyBorder="1" applyAlignment="1">
      <alignment vertical="center"/>
    </xf>
    <xf numFmtId="0" fontId="46" fillId="52" borderId="0" xfId="757" applyFont="1" applyFill="1" applyAlignment="1">
      <alignment horizontal="right" vertical="center"/>
    </xf>
    <xf numFmtId="0" fontId="46" fillId="52" borderId="0" xfId="757" applyFont="1" applyFill="1" applyAlignment="1">
      <alignment vertical="center"/>
    </xf>
    <xf numFmtId="0" fontId="46" fillId="52" borderId="0" xfId="757" applyFont="1" applyFill="1" applyAlignment="1">
      <alignment horizontal="left" vertical="center"/>
    </xf>
    <xf numFmtId="0" fontId="24" fillId="52" borderId="21" xfId="757" applyFont="1" applyFill="1" applyBorder="1" applyAlignment="1">
      <alignment horizontal="center" vertical="center"/>
    </xf>
    <xf numFmtId="49" fontId="24" fillId="52" borderId="21" xfId="757" applyNumberFormat="1" applyFont="1" applyFill="1" applyBorder="1" applyAlignment="1">
      <alignment horizontal="right" vertical="center" wrapText="1"/>
    </xf>
    <xf numFmtId="172" fontId="24" fillId="52" borderId="21" xfId="757" applyNumberFormat="1" applyFont="1" applyFill="1" applyBorder="1" applyAlignment="1">
      <alignment vertical="center" wrapText="1"/>
    </xf>
    <xf numFmtId="172" fontId="24" fillId="52" borderId="21" xfId="509" applyNumberFormat="1" applyFont="1" applyFill="1" applyBorder="1" applyAlignment="1">
      <alignment horizontal="left" vertical="center"/>
    </xf>
    <xf numFmtId="172" fontId="24" fillId="52" borderId="21" xfId="509" applyNumberFormat="1" applyFont="1" applyFill="1" applyBorder="1" applyAlignment="1">
      <alignment vertical="center"/>
    </xf>
    <xf numFmtId="171" fontId="24" fillId="52" borderId="21" xfId="509" applyNumberFormat="1" applyFont="1" applyFill="1" applyBorder="1" applyAlignment="1">
      <alignment vertical="center"/>
    </xf>
    <xf numFmtId="171" fontId="24" fillId="52" borderId="21" xfId="471" applyNumberFormat="1" applyFont="1" applyFill="1" applyBorder="1" applyAlignment="1">
      <alignment vertical="center"/>
    </xf>
    <xf numFmtId="171" fontId="24" fillId="52" borderId="0" xfId="471" applyNumberFormat="1" applyFont="1" applyFill="1" applyBorder="1" applyAlignment="1">
      <alignment vertical="center"/>
    </xf>
    <xf numFmtId="0" fontId="24" fillId="52" borderId="0" xfId="757" applyFont="1" applyFill="1" applyAlignment="1">
      <alignment horizontal="right" vertical="center"/>
    </xf>
    <xf numFmtId="0" fontId="24" fillId="52" borderId="0" xfId="757" applyFont="1" applyFill="1" applyAlignment="1">
      <alignment horizontal="left" vertical="center"/>
    </xf>
    <xf numFmtId="49" fontId="24" fillId="52" borderId="21" xfId="757" applyNumberFormat="1" applyFont="1" applyFill="1" applyBorder="1" applyAlignment="1">
      <alignment vertical="center" wrapText="1"/>
    </xf>
    <xf numFmtId="49" fontId="24" fillId="52" borderId="21" xfId="757" quotePrefix="1" applyNumberFormat="1" applyFont="1" applyFill="1" applyBorder="1" applyAlignment="1">
      <alignment vertical="center" wrapText="1"/>
    </xf>
    <xf numFmtId="172" fontId="24" fillId="52" borderId="21" xfId="757" quotePrefix="1" applyNumberFormat="1" applyFont="1" applyFill="1" applyBorder="1" applyAlignment="1">
      <alignment vertical="center" wrapText="1"/>
    </xf>
    <xf numFmtId="49" fontId="11" fillId="52" borderId="21" xfId="757" quotePrefix="1" applyNumberFormat="1" applyFont="1" applyFill="1" applyBorder="1" applyAlignment="1">
      <alignment vertical="center" wrapText="1"/>
    </xf>
    <xf numFmtId="172" fontId="11" fillId="52" borderId="21" xfId="757" quotePrefix="1" applyNumberFormat="1" applyFont="1" applyFill="1" applyBorder="1" applyAlignment="1">
      <alignment vertical="center" wrapText="1"/>
    </xf>
    <xf numFmtId="49" fontId="65" fillId="52" borderId="21" xfId="757" applyNumberFormat="1" applyFont="1" applyFill="1" applyBorder="1" applyAlignment="1">
      <alignment vertical="center" wrapText="1"/>
    </xf>
    <xf numFmtId="192" fontId="65" fillId="52" borderId="21" xfId="757" applyNumberFormat="1" applyFont="1" applyFill="1" applyBorder="1" applyAlignment="1">
      <alignment vertical="center" wrapText="1"/>
    </xf>
    <xf numFmtId="3" fontId="65" fillId="52" borderId="21" xfId="757" applyNumberFormat="1" applyFont="1" applyFill="1" applyBorder="1" applyAlignment="1">
      <alignment vertical="center" wrapText="1"/>
    </xf>
    <xf numFmtId="0" fontId="64" fillId="52" borderId="21" xfId="757" applyFont="1" applyFill="1" applyBorder="1" applyAlignment="1">
      <alignment horizontal="center" vertical="center"/>
    </xf>
    <xf numFmtId="49" fontId="64" fillId="52" borderId="21" xfId="757" applyNumberFormat="1" applyFont="1" applyFill="1" applyBorder="1" applyAlignment="1">
      <alignment horizontal="right" vertical="center" wrapText="1"/>
    </xf>
    <xf numFmtId="172" fontId="64" fillId="52" borderId="21" xfId="757" applyNumberFormat="1" applyFont="1" applyFill="1" applyBorder="1" applyAlignment="1">
      <alignment vertical="center" wrapText="1"/>
    </xf>
    <xf numFmtId="172" fontId="64" fillId="52" borderId="21" xfId="757" applyNumberFormat="1" applyFont="1" applyFill="1" applyBorder="1" applyAlignment="1">
      <alignment horizontal="left" vertical="center" wrapText="1"/>
    </xf>
    <xf numFmtId="171" fontId="64" fillId="52" borderId="0" xfId="471" applyNumberFormat="1" applyFont="1" applyFill="1" applyBorder="1" applyAlignment="1">
      <alignment horizontal="center" vertical="center"/>
    </xf>
    <xf numFmtId="0" fontId="64" fillId="52" borderId="0" xfId="757" applyFont="1" applyFill="1" applyAlignment="1">
      <alignment horizontal="right" vertical="center"/>
    </xf>
    <xf numFmtId="0" fontId="64" fillId="52" borderId="0" xfId="757" applyFont="1" applyFill="1" applyAlignment="1">
      <alignment vertical="center"/>
    </xf>
    <xf numFmtId="0" fontId="64" fillId="52" borderId="0" xfId="757" applyFont="1" applyFill="1" applyAlignment="1">
      <alignment horizontal="left" vertical="center"/>
    </xf>
    <xf numFmtId="3" fontId="24" fillId="52" borderId="21" xfId="509" applyNumberFormat="1" applyFont="1" applyFill="1" applyBorder="1" applyAlignment="1">
      <alignment vertical="center"/>
    </xf>
    <xf numFmtId="3" fontId="24" fillId="52" borderId="21" xfId="509" applyNumberFormat="1" applyFont="1" applyFill="1" applyBorder="1" applyAlignment="1">
      <alignment horizontal="left" vertical="center"/>
    </xf>
    <xf numFmtId="171" fontId="24" fillId="52" borderId="0" xfId="471" applyNumberFormat="1" applyFont="1" applyFill="1" applyBorder="1" applyAlignment="1">
      <alignment horizontal="center" vertical="center"/>
    </xf>
    <xf numFmtId="172" fontId="64" fillId="52" borderId="21" xfId="509" applyNumberFormat="1" applyFont="1" applyFill="1" applyBorder="1" applyAlignment="1">
      <alignment vertical="center"/>
    </xf>
    <xf numFmtId="171" fontId="64" fillId="52" borderId="0" xfId="471" applyNumberFormat="1" applyFont="1" applyFill="1" applyBorder="1" applyAlignment="1">
      <alignment vertical="center"/>
    </xf>
    <xf numFmtId="49" fontId="64" fillId="52" borderId="21" xfId="757" applyNumberFormat="1" applyFont="1" applyFill="1" applyBorder="1" applyAlignment="1">
      <alignment vertical="center" wrapText="1"/>
    </xf>
    <xf numFmtId="3" fontId="65" fillId="52" borderId="21" xfId="509" applyNumberFormat="1" applyFont="1" applyFill="1" applyBorder="1" applyAlignment="1">
      <alignment vertical="center"/>
    </xf>
    <xf numFmtId="0" fontId="65" fillId="52" borderId="42" xfId="757" applyFont="1" applyFill="1" applyBorder="1" applyAlignment="1">
      <alignment horizontal="center" vertical="center"/>
    </xf>
    <xf numFmtId="49" fontId="65" fillId="52" borderId="42" xfId="757" applyNumberFormat="1" applyFont="1" applyFill="1" applyBorder="1" applyAlignment="1">
      <alignment vertical="center" wrapText="1"/>
    </xf>
    <xf numFmtId="172" fontId="65" fillId="52" borderId="42" xfId="757" applyNumberFormat="1" applyFont="1" applyFill="1" applyBorder="1" applyAlignment="1">
      <alignment vertical="center" wrapText="1"/>
    </xf>
    <xf numFmtId="172" fontId="65" fillId="52" borderId="42" xfId="509" applyNumberFormat="1" applyFont="1" applyFill="1" applyBorder="1" applyAlignment="1">
      <alignment vertical="center"/>
    </xf>
    <xf numFmtId="171" fontId="65" fillId="52" borderId="42" xfId="509" applyNumberFormat="1" applyFont="1" applyFill="1" applyBorder="1" applyAlignment="1">
      <alignment vertical="center"/>
    </xf>
    <xf numFmtId="171" fontId="65" fillId="52" borderId="42" xfId="471" applyNumberFormat="1" applyFont="1" applyFill="1" applyBorder="1" applyAlignment="1">
      <alignment vertical="center"/>
    </xf>
    <xf numFmtId="0" fontId="24" fillId="52" borderId="11" xfId="757" applyFont="1" applyFill="1" applyBorder="1" applyAlignment="1">
      <alignment horizontal="center" vertical="center"/>
    </xf>
    <xf numFmtId="49" fontId="24" fillId="52" borderId="11" xfId="757" applyNumberFormat="1" applyFont="1" applyFill="1" applyBorder="1" applyAlignment="1">
      <alignment vertical="center" wrapText="1"/>
    </xf>
    <xf numFmtId="172" fontId="24" fillId="52" borderId="11" xfId="757" applyNumberFormat="1" applyFont="1" applyFill="1" applyBorder="1" applyAlignment="1">
      <alignment vertical="center" wrapText="1"/>
    </xf>
    <xf numFmtId="172" fontId="46" fillId="52" borderId="11" xfId="509" applyNumberFormat="1" applyFont="1" applyFill="1" applyBorder="1" applyAlignment="1">
      <alignment vertical="center"/>
    </xf>
    <xf numFmtId="172" fontId="24" fillId="52" borderId="11" xfId="509" applyNumberFormat="1" applyFont="1" applyFill="1" applyBorder="1" applyAlignment="1">
      <alignment vertical="center"/>
    </xf>
    <xf numFmtId="171" fontId="24" fillId="52" borderId="11" xfId="509" applyNumberFormat="1" applyFont="1" applyFill="1" applyBorder="1" applyAlignment="1">
      <alignment vertical="center"/>
    </xf>
    <xf numFmtId="171" fontId="24" fillId="52" borderId="11" xfId="471" applyNumberFormat="1" applyFont="1" applyFill="1" applyBorder="1" applyAlignment="1">
      <alignment vertical="center"/>
    </xf>
    <xf numFmtId="0" fontId="24" fillId="52" borderId="39" xfId="757" applyFont="1" applyFill="1" applyBorder="1" applyAlignment="1">
      <alignment horizontal="center" vertical="center"/>
    </xf>
    <xf numFmtId="49" fontId="24" fillId="52" borderId="39" xfId="757" applyNumberFormat="1" applyFont="1" applyFill="1" applyBorder="1" applyAlignment="1">
      <alignment vertical="center" wrapText="1"/>
    </xf>
    <xf numFmtId="172" fontId="24" fillId="52" borderId="39" xfId="757" applyNumberFormat="1" applyFont="1" applyFill="1" applyBorder="1" applyAlignment="1">
      <alignment vertical="center" wrapText="1"/>
    </xf>
    <xf numFmtId="3" fontId="24" fillId="52" borderId="39" xfId="509" applyNumberFormat="1" applyFont="1" applyFill="1" applyBorder="1" applyAlignment="1">
      <alignment vertical="center"/>
    </xf>
    <xf numFmtId="171" fontId="24" fillId="52" borderId="39" xfId="509" applyNumberFormat="1" applyFont="1" applyFill="1" applyBorder="1" applyAlignment="1">
      <alignment vertical="center"/>
    </xf>
    <xf numFmtId="171" fontId="24" fillId="52" borderId="39" xfId="471" applyNumberFormat="1" applyFont="1" applyFill="1" applyBorder="1" applyAlignment="1">
      <alignment vertical="center"/>
    </xf>
    <xf numFmtId="0" fontId="24" fillId="52" borderId="0" xfId="757" applyFont="1" applyFill="1" applyAlignment="1">
      <alignment horizontal="center" vertical="center"/>
    </xf>
    <xf numFmtId="171" fontId="24" fillId="52" borderId="0" xfId="509" applyNumberFormat="1" applyFont="1" applyFill="1" applyAlignment="1">
      <alignment vertical="center"/>
    </xf>
    <xf numFmtId="0" fontId="77" fillId="52" borderId="0" xfId="757" applyFont="1" applyFill="1" applyAlignment="1">
      <alignment horizontal="center" vertical="center"/>
    </xf>
    <xf numFmtId="49" fontId="24" fillId="52" borderId="0" xfId="757" applyNumberFormat="1" applyFont="1" applyFill="1" applyAlignment="1">
      <alignment horizontal="left" vertical="center"/>
    </xf>
    <xf numFmtId="172" fontId="24" fillId="52" borderId="0" xfId="757" applyNumberFormat="1" applyFont="1" applyFill="1" applyAlignment="1">
      <alignment horizontal="left" vertical="center"/>
    </xf>
    <xf numFmtId="4" fontId="24" fillId="52" borderId="0" xfId="757" applyNumberFormat="1" applyFont="1" applyFill="1" applyAlignment="1">
      <alignment horizontal="left" vertical="center"/>
    </xf>
    <xf numFmtId="171" fontId="24" fillId="52" borderId="0" xfId="757" applyNumberFormat="1" applyFont="1" applyFill="1" applyAlignment="1">
      <alignment horizontal="left" vertical="center"/>
    </xf>
    <xf numFmtId="171" fontId="24" fillId="52" borderId="0" xfId="471" applyNumberFormat="1" applyFont="1" applyFill="1" applyAlignment="1">
      <alignment horizontal="left" vertical="center"/>
    </xf>
    <xf numFmtId="3" fontId="65" fillId="52" borderId="21" xfId="727" applyNumberFormat="1" applyFont="1" applyFill="1" applyBorder="1" applyAlignment="1">
      <alignment horizontal="right" vertical="center" wrapText="1"/>
    </xf>
    <xf numFmtId="1" fontId="65" fillId="52" borderId="21" xfId="727" applyNumberFormat="1" applyFont="1" applyFill="1" applyBorder="1" applyAlignment="1">
      <alignment horizontal="left" vertical="center" wrapText="1"/>
    </xf>
    <xf numFmtId="1" fontId="65" fillId="52" borderId="21" xfId="727" applyNumberFormat="1" applyFont="1" applyFill="1" applyBorder="1" applyAlignment="1">
      <alignment horizontal="right" vertical="center" wrapText="1"/>
    </xf>
    <xf numFmtId="172" fontId="65" fillId="52" borderId="21" xfId="727" applyNumberFormat="1" applyFont="1" applyFill="1" applyBorder="1" applyAlignment="1">
      <alignment horizontal="right" vertical="center" wrapText="1"/>
    </xf>
    <xf numFmtId="172" fontId="65" fillId="52" borderId="21" xfId="727" applyNumberFormat="1" applyFont="1" applyFill="1" applyBorder="1" applyAlignment="1">
      <alignment horizontal="left" vertical="center" wrapText="1"/>
    </xf>
    <xf numFmtId="1" fontId="24" fillId="52" borderId="21" xfId="727" applyNumberFormat="1" applyFont="1" applyFill="1" applyBorder="1" applyAlignment="1">
      <alignment horizontal="left" vertical="center" wrapText="1"/>
    </xf>
    <xf numFmtId="1" fontId="24" fillId="52" borderId="21" xfId="727" applyNumberFormat="1" applyFont="1" applyFill="1" applyBorder="1" applyAlignment="1">
      <alignment horizontal="right" vertical="center" wrapText="1"/>
    </xf>
    <xf numFmtId="3" fontId="24" fillId="52" borderId="21" xfId="727" applyNumberFormat="1" applyFont="1" applyFill="1" applyBorder="1" applyAlignment="1">
      <alignment horizontal="right" vertical="center" wrapText="1"/>
    </xf>
    <xf numFmtId="3" fontId="24" fillId="52" borderId="21" xfId="727" applyNumberFormat="1" applyFont="1" applyFill="1" applyBorder="1" applyAlignment="1">
      <alignment horizontal="left" vertical="center" wrapText="1"/>
    </xf>
    <xf numFmtId="1" fontId="64" fillId="52" borderId="21" xfId="727" applyNumberFormat="1" applyFont="1" applyFill="1" applyBorder="1" applyAlignment="1">
      <alignment horizontal="left" vertical="center" wrapText="1"/>
    </xf>
    <xf numFmtId="1" fontId="64" fillId="52" borderId="21" xfId="727" applyNumberFormat="1" applyFont="1" applyFill="1" applyBorder="1" applyAlignment="1">
      <alignment horizontal="right" vertical="center" wrapText="1"/>
    </xf>
    <xf numFmtId="172" fontId="64" fillId="52" borderId="21" xfId="727" applyNumberFormat="1" applyFont="1" applyFill="1" applyBorder="1" applyAlignment="1">
      <alignment horizontal="right" vertical="center" wrapText="1"/>
    </xf>
    <xf numFmtId="172" fontId="64" fillId="52" borderId="21" xfId="727" applyNumberFormat="1" applyFont="1" applyFill="1" applyBorder="1" applyAlignment="1">
      <alignment horizontal="left" vertical="center" wrapText="1"/>
    </xf>
    <xf numFmtId="1" fontId="66" fillId="52" borderId="21" xfId="727" applyNumberFormat="1" applyFont="1" applyFill="1" applyBorder="1" applyAlignment="1">
      <alignment horizontal="right" vertical="center" wrapText="1"/>
    </xf>
    <xf numFmtId="172" fontId="66" fillId="52" borderId="21" xfId="727" applyNumberFormat="1" applyFont="1" applyFill="1" applyBorder="1" applyAlignment="1">
      <alignment horizontal="right" vertical="center" wrapText="1"/>
    </xf>
    <xf numFmtId="172" fontId="64" fillId="52" borderId="21" xfId="727" applyNumberFormat="1" applyFont="1" applyFill="1" applyBorder="1" applyAlignment="1">
      <alignment horizontal="center" vertical="center" wrapText="1"/>
    </xf>
    <xf numFmtId="3" fontId="24" fillId="52" borderId="21" xfId="727" applyNumberFormat="1" applyFont="1" applyFill="1" applyBorder="1" applyAlignment="1">
      <alignment horizontal="center" vertical="center" wrapText="1"/>
    </xf>
    <xf numFmtId="3" fontId="11" fillId="52" borderId="21" xfId="727" applyNumberFormat="1" applyFont="1" applyFill="1" applyBorder="1" applyAlignment="1">
      <alignment horizontal="left" vertical="center" wrapText="1"/>
    </xf>
    <xf numFmtId="1" fontId="66" fillId="52" borderId="21" xfId="727" applyNumberFormat="1" applyFont="1" applyFill="1" applyBorder="1" applyAlignment="1">
      <alignment horizontal="left" vertical="center" wrapText="1"/>
    </xf>
    <xf numFmtId="172" fontId="66" fillId="52" borderId="21" xfId="727" applyNumberFormat="1" applyFont="1" applyFill="1" applyBorder="1" applyAlignment="1">
      <alignment horizontal="left" vertical="center" wrapText="1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vertical="center" wrapText="1"/>
    </xf>
    <xf numFmtId="0" fontId="24" fillId="0" borderId="0" xfId="0" applyFont="1" applyFill="1" applyAlignment="1">
      <alignment horizontal="center" vertical="center" wrapText="1"/>
    </xf>
    <xf numFmtId="0" fontId="65" fillId="0" borderId="0" xfId="0" applyFont="1" applyFill="1" applyAlignment="1">
      <alignment vertical="center" wrapText="1"/>
    </xf>
    <xf numFmtId="0" fontId="24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23" fillId="0" borderId="0" xfId="0" applyFont="1" applyFill="1" applyAlignment="1">
      <alignment vertical="center" wrapText="1"/>
    </xf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78" fillId="0" borderId="1" xfId="0" applyFont="1" applyFill="1" applyBorder="1" applyAlignment="1">
      <alignment horizontal="left" vertical="center" wrapText="1"/>
    </xf>
    <xf numFmtId="0" fontId="78" fillId="0" borderId="1" xfId="0" applyFont="1" applyFill="1" applyBorder="1" applyAlignment="1">
      <alignment horizontal="center" vertical="center"/>
    </xf>
    <xf numFmtId="0" fontId="78" fillId="0" borderId="1" xfId="0" applyFont="1" applyFill="1" applyBorder="1" applyAlignment="1">
      <alignment horizontal="center" vertical="center" wrapText="1"/>
    </xf>
    <xf numFmtId="0" fontId="83" fillId="0" borderId="0" xfId="0" applyFont="1" applyFill="1" applyAlignment="1">
      <alignment vertical="center" wrapText="1"/>
    </xf>
    <xf numFmtId="171" fontId="23" fillId="0" borderId="1" xfId="485" applyNumberFormat="1" applyFont="1" applyFill="1" applyBorder="1" applyAlignment="1">
      <alignment horizontal="center" vertical="center" wrapText="1"/>
    </xf>
    <xf numFmtId="0" fontId="79" fillId="0" borderId="1" xfId="0" applyFont="1" applyFill="1" applyBorder="1" applyAlignment="1">
      <alignment horizontal="center" vertical="center"/>
    </xf>
    <xf numFmtId="0" fontId="79" fillId="0" borderId="1" xfId="0" applyFont="1" applyFill="1" applyBorder="1" applyAlignment="1">
      <alignment horizontal="left" vertical="center" wrapText="1"/>
    </xf>
    <xf numFmtId="43" fontId="78" fillId="0" borderId="1" xfId="442" applyFont="1" applyFill="1" applyBorder="1" applyAlignment="1">
      <alignment horizontal="center" vertical="center" wrapText="1"/>
    </xf>
    <xf numFmtId="171" fontId="79" fillId="0" borderId="1" xfId="485" applyNumberFormat="1" applyFont="1" applyFill="1" applyBorder="1" applyAlignment="1">
      <alignment horizontal="center" vertical="center" wrapText="1"/>
    </xf>
    <xf numFmtId="0" fontId="85" fillId="0" borderId="1" xfId="0" applyFont="1" applyFill="1" applyBorder="1" applyAlignment="1">
      <alignment horizontal="center" vertical="center"/>
    </xf>
    <xf numFmtId="0" fontId="78" fillId="0" borderId="0" xfId="0" applyFont="1" applyFill="1" applyAlignment="1">
      <alignment vertical="center" wrapText="1"/>
    </xf>
    <xf numFmtId="0" fontId="226" fillId="0" borderId="1" xfId="0" applyFont="1" applyFill="1" applyBorder="1" applyAlignment="1">
      <alignment horizontal="center" vertical="center"/>
    </xf>
    <xf numFmtId="0" fontId="226" fillId="0" borderId="1" xfId="0" applyFont="1" applyFill="1" applyBorder="1" applyAlignment="1">
      <alignment horizontal="left" vertical="center" wrapText="1"/>
    </xf>
    <xf numFmtId="0" fontId="226" fillId="0" borderId="1" xfId="0" applyFont="1" applyFill="1" applyBorder="1" applyAlignment="1">
      <alignment horizontal="center" vertical="center" wrapText="1"/>
    </xf>
    <xf numFmtId="0" fontId="226" fillId="0" borderId="1" xfId="0" quotePrefix="1" applyFont="1" applyFill="1" applyBorder="1" applyAlignment="1">
      <alignment horizontal="center" vertical="center"/>
    </xf>
    <xf numFmtId="175" fontId="78" fillId="0" borderId="8" xfId="442" applyNumberFormat="1" applyFont="1" applyFill="1" applyBorder="1" applyAlignment="1">
      <alignment vertical="center" wrapText="1"/>
    </xf>
    <xf numFmtId="175" fontId="78" fillId="0" borderId="8" xfId="0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80" fillId="0" borderId="1" xfId="0" applyFont="1" applyFill="1" applyBorder="1" applyAlignment="1">
      <alignment horizontal="center" vertical="center"/>
    </xf>
    <xf numFmtId="0" fontId="79" fillId="0" borderId="1" xfId="0" applyFont="1" applyFill="1" applyBorder="1" applyAlignment="1">
      <alignment horizontal="center" vertical="center" wrapText="1"/>
    </xf>
    <xf numFmtId="175" fontId="79" fillId="0" borderId="8" xfId="442" applyNumberFormat="1" applyFont="1" applyFill="1" applyBorder="1" applyAlignment="1">
      <alignment vertical="center" wrapText="1"/>
    </xf>
    <xf numFmtId="0" fontId="82" fillId="0" borderId="0" xfId="0" applyFont="1" applyFill="1" applyAlignment="1">
      <alignment vertical="center" wrapText="1"/>
    </xf>
    <xf numFmtId="0" fontId="220" fillId="0" borderId="0" xfId="0" applyFont="1" applyFill="1" applyAlignment="1">
      <alignment vertical="center"/>
    </xf>
    <xf numFmtId="0" fontId="80" fillId="0" borderId="1" xfId="0" applyFont="1" applyFill="1" applyBorder="1" applyAlignment="1">
      <alignment horizontal="left" vertical="center" wrapText="1"/>
    </xf>
    <xf numFmtId="0" fontId="78" fillId="0" borderId="0" xfId="0" applyFont="1" applyFill="1" applyAlignment="1">
      <alignment horizontal="center" vertical="center"/>
    </xf>
    <xf numFmtId="0" fontId="78" fillId="0" borderId="1" xfId="0" applyFont="1" applyFill="1" applyBorder="1" applyAlignment="1">
      <alignment horizontal="justify" vertical="center" wrapText="1"/>
    </xf>
    <xf numFmtId="175" fontId="78" fillId="0" borderId="1" xfId="442" applyNumberFormat="1" applyFont="1" applyFill="1" applyBorder="1" applyAlignment="1">
      <alignment horizontal="center" vertical="center" wrapText="1"/>
    </xf>
    <xf numFmtId="175" fontId="78" fillId="0" borderId="1" xfId="442" applyNumberFormat="1" applyFont="1" applyFill="1" applyBorder="1" applyAlignment="1">
      <alignment vertical="center" wrapText="1"/>
    </xf>
    <xf numFmtId="43" fontId="23" fillId="0" borderId="0" xfId="442" applyFont="1" applyFill="1" applyAlignment="1">
      <alignment vertical="center"/>
    </xf>
    <xf numFmtId="170" fontId="83" fillId="0" borderId="0" xfId="0" applyNumberFormat="1" applyFont="1" applyFill="1" applyAlignment="1">
      <alignment vertical="center" wrapText="1"/>
    </xf>
    <xf numFmtId="175" fontId="78" fillId="0" borderId="1" xfId="442" applyNumberFormat="1" applyFont="1" applyFill="1" applyBorder="1" applyAlignment="1">
      <alignment horizontal="right" vertical="center" wrapText="1"/>
    </xf>
    <xf numFmtId="175" fontId="79" fillId="0" borderId="1" xfId="442" applyNumberFormat="1" applyFont="1" applyFill="1" applyBorder="1" applyAlignment="1">
      <alignment vertical="center" wrapText="1"/>
    </xf>
    <xf numFmtId="43" fontId="78" fillId="0" borderId="1" xfId="442" applyFont="1" applyFill="1" applyBorder="1" applyAlignment="1">
      <alignment horizontal="right" vertical="center" wrapText="1"/>
    </xf>
    <xf numFmtId="175" fontId="79" fillId="0" borderId="8" xfId="442" applyNumberFormat="1" applyFont="1" applyFill="1" applyBorder="1" applyAlignment="1">
      <alignment horizontal="right" vertical="center" wrapText="1"/>
    </xf>
    <xf numFmtId="175" fontId="78" fillId="0" borderId="8" xfId="0" applyNumberFormat="1" applyFont="1" applyFill="1" applyBorder="1" applyAlignment="1">
      <alignment horizontal="right" vertical="center" wrapText="1"/>
    </xf>
    <xf numFmtId="175" fontId="79" fillId="0" borderId="1" xfId="442" applyNumberFormat="1" applyFont="1" applyFill="1" applyBorder="1" applyAlignment="1">
      <alignment horizontal="center" vertical="center" wrapText="1"/>
    </xf>
    <xf numFmtId="171" fontId="78" fillId="0" borderId="8" xfId="442" applyNumberFormat="1" applyFont="1" applyFill="1" applyBorder="1" applyAlignment="1">
      <alignment horizontal="center" vertical="center" wrapText="1"/>
    </xf>
    <xf numFmtId="0" fontId="80" fillId="0" borderId="1" xfId="0" applyFont="1" applyFill="1" applyBorder="1" applyAlignment="1">
      <alignment horizontal="center" vertical="center" wrapText="1"/>
    </xf>
    <xf numFmtId="175" fontId="78" fillId="0" borderId="8" xfId="442" applyNumberFormat="1" applyFont="1" applyFill="1" applyBorder="1" applyAlignment="1">
      <alignment horizontal="center" vertical="center" wrapText="1"/>
    </xf>
    <xf numFmtId="0" fontId="80" fillId="0" borderId="1" xfId="0" applyFont="1" applyFill="1" applyBorder="1" applyAlignment="1">
      <alignment vertical="center" wrapText="1"/>
    </xf>
    <xf numFmtId="43" fontId="80" fillId="0" borderId="8" xfId="442" applyFont="1" applyFill="1" applyBorder="1" applyAlignment="1">
      <alignment horizontal="center" vertical="center" wrapText="1"/>
    </xf>
    <xf numFmtId="175" fontId="80" fillId="0" borderId="8" xfId="0" applyNumberFormat="1" applyFont="1" applyFill="1" applyBorder="1" applyAlignment="1">
      <alignment horizontal="center" vertical="center" wrapText="1"/>
    </xf>
    <xf numFmtId="175" fontId="80" fillId="0" borderId="8" xfId="0" applyNumberFormat="1" applyFont="1" applyFill="1" applyBorder="1" applyAlignment="1">
      <alignment horizontal="right" vertical="center" wrapText="1"/>
    </xf>
    <xf numFmtId="0" fontId="220" fillId="0" borderId="0" xfId="0" applyFont="1" applyFill="1" applyAlignment="1">
      <alignment vertical="center" wrapText="1"/>
    </xf>
    <xf numFmtId="0" fontId="24" fillId="0" borderId="1" xfId="0" applyFont="1" applyFill="1" applyBorder="1" applyAlignment="1">
      <alignment horizontal="center" vertical="center" wrapText="1"/>
    </xf>
    <xf numFmtId="171" fontId="226" fillId="0" borderId="8" xfId="0" applyNumberFormat="1" applyFont="1" applyFill="1" applyBorder="1" applyAlignment="1">
      <alignment horizontal="center" vertical="center" wrapText="1"/>
    </xf>
    <xf numFmtId="175" fontId="226" fillId="0" borderId="8" xfId="0" applyNumberFormat="1" applyFont="1" applyFill="1" applyBorder="1" applyAlignment="1">
      <alignment horizontal="center" vertical="center" wrapText="1"/>
    </xf>
    <xf numFmtId="0" fontId="227" fillId="0" borderId="0" xfId="0" applyFont="1" applyFill="1" applyAlignment="1">
      <alignment vertical="center" wrapText="1"/>
    </xf>
    <xf numFmtId="0" fontId="78" fillId="0" borderId="1" xfId="0" applyFont="1" applyFill="1" applyBorder="1" applyAlignment="1">
      <alignment horizontal="right" vertical="center"/>
    </xf>
    <xf numFmtId="175" fontId="226" fillId="0" borderId="8" xfId="0" applyNumberFormat="1" applyFont="1" applyFill="1" applyBorder="1" applyAlignment="1">
      <alignment horizontal="right" vertical="center" wrapText="1"/>
    </xf>
    <xf numFmtId="175" fontId="78" fillId="0" borderId="8" xfId="0" quotePrefix="1" applyNumberFormat="1" applyFont="1" applyFill="1" applyBorder="1" applyAlignment="1">
      <alignment horizontal="right" vertical="center" wrapText="1"/>
    </xf>
    <xf numFmtId="171" fontId="226" fillId="0" borderId="1" xfId="442" applyNumberFormat="1" applyFont="1" applyFill="1" applyBorder="1" applyAlignment="1">
      <alignment horizontal="right" vertical="center"/>
    </xf>
    <xf numFmtId="0" fontId="226" fillId="0" borderId="1" xfId="0" applyFont="1" applyFill="1" applyBorder="1" applyAlignment="1">
      <alignment horizontal="right" vertical="center"/>
    </xf>
    <xf numFmtId="43" fontId="78" fillId="0" borderId="8" xfId="442" applyFont="1" applyFill="1" applyBorder="1" applyAlignment="1">
      <alignment horizontal="right" vertical="center" wrapText="1"/>
    </xf>
    <xf numFmtId="171" fontId="78" fillId="0" borderId="8" xfId="442" applyNumberFormat="1" applyFont="1" applyFill="1" applyBorder="1" applyAlignment="1">
      <alignment horizontal="right" vertical="center" wrapText="1"/>
    </xf>
    <xf numFmtId="171" fontId="226" fillId="0" borderId="8" xfId="442" applyNumberFormat="1" applyFont="1" applyFill="1" applyBorder="1" applyAlignment="1">
      <alignment horizontal="right" vertical="center" wrapText="1"/>
    </xf>
    <xf numFmtId="175" fontId="78" fillId="0" borderId="1" xfId="479" applyNumberFormat="1" applyFont="1" applyFill="1" applyBorder="1" applyAlignment="1">
      <alignment horizontal="right" vertical="center"/>
    </xf>
    <xf numFmtId="172" fontId="78" fillId="0" borderId="1" xfId="479" applyNumberFormat="1" applyFont="1" applyFill="1" applyBorder="1" applyAlignment="1">
      <alignment horizontal="right" vertical="center"/>
    </xf>
    <xf numFmtId="175" fontId="78" fillId="0" borderId="8" xfId="442" applyNumberFormat="1" applyFont="1" applyFill="1" applyBorder="1" applyAlignment="1">
      <alignment horizontal="right" vertical="center" wrapText="1"/>
    </xf>
    <xf numFmtId="175" fontId="79" fillId="0" borderId="8" xfId="442" applyNumberFormat="1" applyFont="1" applyFill="1" applyBorder="1" applyAlignment="1">
      <alignment horizontal="center" vertical="center" wrapText="1"/>
    </xf>
    <xf numFmtId="171" fontId="79" fillId="0" borderId="1" xfId="442" applyNumberFormat="1" applyFont="1" applyFill="1" applyBorder="1" applyAlignment="1">
      <alignment horizontal="right" vertical="center" wrapText="1"/>
    </xf>
    <xf numFmtId="43" fontId="83" fillId="0" borderId="0" xfId="0" applyNumberFormat="1" applyFont="1" applyFill="1" applyAlignment="1">
      <alignment vertical="center" wrapText="1"/>
    </xf>
    <xf numFmtId="2" fontId="78" fillId="0" borderId="1" xfId="0" applyNumberFormat="1" applyFont="1" applyFill="1" applyBorder="1" applyAlignment="1">
      <alignment horizontal="right" vertical="center"/>
    </xf>
    <xf numFmtId="174" fontId="78" fillId="0" borderId="1" xfId="0" applyNumberFormat="1" applyFont="1" applyFill="1" applyBorder="1" applyAlignment="1">
      <alignment horizontal="right" vertical="center"/>
    </xf>
    <xf numFmtId="2" fontId="79" fillId="0" borderId="1" xfId="0" applyNumberFormat="1" applyFont="1" applyFill="1" applyBorder="1" applyAlignment="1">
      <alignment horizontal="right" vertical="center"/>
    </xf>
    <xf numFmtId="2" fontId="79" fillId="0" borderId="1" xfId="0" quotePrefix="1" applyNumberFormat="1" applyFont="1" applyFill="1" applyBorder="1" applyAlignment="1">
      <alignment horizontal="right" vertical="center"/>
    </xf>
    <xf numFmtId="43" fontId="79" fillId="0" borderId="1" xfId="442" applyFont="1" applyFill="1" applyBorder="1" applyAlignment="1">
      <alignment horizontal="right" vertical="center" wrapText="1"/>
    </xf>
    <xf numFmtId="171" fontId="78" fillId="0" borderId="1" xfId="485" applyNumberFormat="1" applyFont="1" applyFill="1" applyBorder="1" applyAlignment="1">
      <alignment horizontal="right" vertical="center" wrapText="1"/>
    </xf>
    <xf numFmtId="171" fontId="79" fillId="0" borderId="1" xfId="485" applyNumberFormat="1" applyFont="1" applyFill="1" applyBorder="1" applyAlignment="1">
      <alignment horizontal="right" vertical="center" wrapText="1"/>
    </xf>
    <xf numFmtId="175" fontId="228" fillId="0" borderId="8" xfId="442" applyNumberFormat="1" applyFont="1" applyFill="1" applyBorder="1" applyAlignment="1">
      <alignment horizontal="right" vertical="center" wrapText="1"/>
    </xf>
    <xf numFmtId="171" fontId="226" fillId="0" borderId="8" xfId="0" applyNumberFormat="1" applyFont="1" applyFill="1" applyBorder="1" applyAlignment="1">
      <alignment horizontal="right" vertical="center" wrapText="1"/>
    </xf>
    <xf numFmtId="43" fontId="78" fillId="0" borderId="1" xfId="442" quotePrefix="1" applyFont="1" applyFill="1" applyBorder="1" applyAlignment="1">
      <alignment horizontal="right" vertical="center" wrapText="1"/>
    </xf>
    <xf numFmtId="43" fontId="80" fillId="0" borderId="8" xfId="442" applyFont="1" applyFill="1" applyBorder="1" applyAlignment="1">
      <alignment horizontal="right" vertical="center" wrapText="1"/>
    </xf>
    <xf numFmtId="175" fontId="78" fillId="0" borderId="1" xfId="442" applyNumberFormat="1" applyFont="1" applyFill="1" applyBorder="1" applyAlignment="1">
      <alignment horizontal="right" vertical="center"/>
    </xf>
    <xf numFmtId="175" fontId="226" fillId="0" borderId="8" xfId="442" applyNumberFormat="1" applyFont="1" applyFill="1" applyBorder="1" applyAlignment="1">
      <alignment horizontal="right" vertical="center" wrapText="1"/>
    </xf>
    <xf numFmtId="43" fontId="229" fillId="0" borderId="0" xfId="442" applyFont="1" applyFill="1" applyAlignment="1">
      <alignment horizontal="center" vertical="center"/>
    </xf>
    <xf numFmtId="43" fontId="78" fillId="0" borderId="31" xfId="442" applyFont="1" applyFill="1" applyBorder="1" applyAlignment="1">
      <alignment horizontal="right" vertical="center" wrapText="1"/>
    </xf>
    <xf numFmtId="43" fontId="78" fillId="0" borderId="8" xfId="442" applyFont="1" applyFill="1" applyBorder="1" applyAlignment="1">
      <alignment horizontal="right" vertical="center" wrapText="1"/>
    </xf>
    <xf numFmtId="171" fontId="78" fillId="0" borderId="1" xfId="442" applyNumberFormat="1" applyFont="1" applyFill="1" applyBorder="1" applyAlignment="1">
      <alignment horizontal="right" vertical="center" wrapText="1"/>
    </xf>
    <xf numFmtId="0" fontId="83" fillId="0" borderId="0" xfId="0" applyFont="1" applyFill="1" applyAlignment="1">
      <alignment vertical="center"/>
    </xf>
    <xf numFmtId="0" fontId="82" fillId="0" borderId="0" xfId="0" applyFont="1" applyFill="1" applyAlignment="1">
      <alignment vertical="center"/>
    </xf>
    <xf numFmtId="43" fontId="82" fillId="0" borderId="0" xfId="0" applyNumberFormat="1" applyFont="1" applyFill="1" applyAlignment="1">
      <alignment vertical="center"/>
    </xf>
    <xf numFmtId="43" fontId="83" fillId="0" borderId="0" xfId="0" applyNumberFormat="1" applyFont="1" applyFill="1" applyAlignment="1">
      <alignment vertical="center"/>
    </xf>
    <xf numFmtId="43" fontId="78" fillId="0" borderId="1" xfId="485" applyNumberFormat="1" applyFont="1" applyFill="1" applyBorder="1" applyAlignment="1">
      <alignment horizontal="right" vertical="center" wrapText="1"/>
    </xf>
    <xf numFmtId="43" fontId="82" fillId="0" borderId="0" xfId="0" applyNumberFormat="1" applyFont="1" applyFill="1" applyAlignment="1">
      <alignment vertical="center" wrapText="1"/>
    </xf>
    <xf numFmtId="0" fontId="71" fillId="0" borderId="59" xfId="704" applyFont="1" applyFill="1" applyBorder="1" applyAlignment="1">
      <alignment horizontal="centerContinuous" vertical="center"/>
    </xf>
    <xf numFmtId="0" fontId="71" fillId="0" borderId="10" xfId="704" applyFont="1" applyFill="1" applyBorder="1" applyAlignment="1">
      <alignment horizontal="centerContinuous" vertical="center"/>
    </xf>
    <xf numFmtId="0" fontId="230" fillId="0" borderId="10" xfId="704" applyFont="1" applyFill="1" applyBorder="1" applyAlignment="1">
      <alignment horizontal="centerContinuous" vertical="center"/>
    </xf>
    <xf numFmtId="0" fontId="230" fillId="0" borderId="0" xfId="704" applyFont="1" applyFill="1" applyBorder="1" applyAlignment="1">
      <alignment horizontal="centerContinuous" vertical="center"/>
    </xf>
    <xf numFmtId="0" fontId="230" fillId="0" borderId="0" xfId="704" applyFont="1" applyFill="1" applyAlignment="1">
      <alignment vertical="center"/>
    </xf>
    <xf numFmtId="0" fontId="40" fillId="0" borderId="5" xfId="704" applyFont="1" applyFill="1" applyBorder="1" applyAlignment="1">
      <alignment horizontal="centerContinuous" vertical="top"/>
    </xf>
    <xf numFmtId="0" fontId="81" fillId="0" borderId="5" xfId="704" applyFont="1" applyFill="1" applyBorder="1" applyAlignment="1">
      <alignment horizontal="centerContinuous" vertical="center"/>
    </xf>
    <xf numFmtId="2" fontId="81" fillId="0" borderId="5" xfId="704" applyNumberFormat="1" applyFont="1" applyFill="1" applyBorder="1" applyAlignment="1">
      <alignment horizontal="centerContinuous" vertical="center"/>
    </xf>
    <xf numFmtId="43" fontId="81" fillId="0" borderId="5" xfId="704" applyNumberFormat="1" applyFont="1" applyFill="1" applyBorder="1" applyAlignment="1">
      <alignment horizontal="centerContinuous" vertical="center"/>
    </xf>
    <xf numFmtId="0" fontId="11" fillId="0" borderId="5" xfId="704" applyFont="1" applyFill="1" applyBorder="1" applyAlignment="1">
      <alignment horizontal="centerContinuous" vertical="center"/>
    </xf>
    <xf numFmtId="0" fontId="11" fillId="0" borderId="0" xfId="704" applyFont="1" applyFill="1" applyBorder="1" applyAlignment="1">
      <alignment horizontal="centerContinuous" vertical="center"/>
    </xf>
    <xf numFmtId="0" fontId="11" fillId="0" borderId="0" xfId="704" applyFont="1" applyFill="1" applyBorder="1" applyAlignment="1">
      <alignment vertical="center"/>
    </xf>
    <xf numFmtId="0" fontId="11" fillId="0" borderId="0" xfId="704" applyFont="1" applyFill="1" applyAlignment="1">
      <alignment vertical="center"/>
    </xf>
    <xf numFmtId="0" fontId="81" fillId="0" borderId="1" xfId="704" applyFont="1" applyFill="1" applyBorder="1" applyAlignment="1">
      <alignment horizontal="center" vertical="center" wrapText="1"/>
    </xf>
    <xf numFmtId="0" fontId="81" fillId="0" borderId="1" xfId="704" applyFont="1" applyFill="1" applyBorder="1" applyAlignment="1">
      <alignment horizontal="left" vertical="center" wrapText="1"/>
    </xf>
    <xf numFmtId="43" fontId="81" fillId="0" borderId="1" xfId="1079" applyFont="1" applyFill="1" applyBorder="1" applyAlignment="1">
      <alignment horizontal="center" vertical="center" wrapText="1"/>
    </xf>
    <xf numFmtId="2" fontId="81" fillId="0" borderId="1" xfId="704" applyNumberFormat="1" applyFont="1" applyFill="1" applyBorder="1" applyAlignment="1">
      <alignment vertical="center" wrapText="1"/>
    </xf>
    <xf numFmtId="0" fontId="81" fillId="0" borderId="1" xfId="704" applyFont="1" applyFill="1" applyBorder="1" applyAlignment="1">
      <alignment vertical="center" wrapText="1"/>
    </xf>
    <xf numFmtId="0" fontId="81" fillId="0" borderId="56" xfId="704" applyFont="1" applyFill="1" applyBorder="1" applyAlignment="1">
      <alignment vertical="center" wrapText="1"/>
    </xf>
    <xf numFmtId="0" fontId="81" fillId="0" borderId="0" xfId="704" applyFont="1" applyFill="1" applyAlignment="1">
      <alignment vertical="center" wrapText="1"/>
    </xf>
    <xf numFmtId="175" fontId="81" fillId="0" borderId="1" xfId="704" applyNumberFormat="1" applyFont="1" applyFill="1" applyBorder="1" applyAlignment="1">
      <alignment horizontal="center" vertical="center" wrapText="1"/>
    </xf>
    <xf numFmtId="2" fontId="11" fillId="0" borderId="1" xfId="704" applyNumberFormat="1" applyFont="1" applyFill="1" applyBorder="1" applyAlignment="1">
      <alignment vertical="center" wrapText="1"/>
    </xf>
    <xf numFmtId="0" fontId="11" fillId="0" borderId="1" xfId="704" applyFont="1" applyFill="1" applyBorder="1" applyAlignment="1">
      <alignment vertical="center" wrapText="1"/>
    </xf>
    <xf numFmtId="0" fontId="11" fillId="0" borderId="56" xfId="704" applyFont="1" applyFill="1" applyBorder="1" applyAlignment="1">
      <alignment vertical="center" wrapText="1"/>
    </xf>
    <xf numFmtId="0" fontId="11" fillId="0" borderId="0" xfId="704" applyFont="1" applyFill="1" applyAlignment="1">
      <alignment vertical="center" wrapText="1"/>
    </xf>
    <xf numFmtId="0" fontId="11" fillId="0" borderId="1" xfId="704" applyFont="1" applyFill="1" applyBorder="1" applyAlignment="1">
      <alignment horizontal="left" vertical="center" wrapText="1"/>
    </xf>
    <xf numFmtId="0" fontId="11" fillId="0" borderId="1" xfId="704" applyFont="1" applyFill="1" applyBorder="1" applyAlignment="1">
      <alignment horizontal="center" vertical="center" wrapText="1"/>
    </xf>
    <xf numFmtId="175" fontId="11" fillId="0" borderId="1" xfId="1079" applyNumberFormat="1" applyFont="1" applyFill="1" applyBorder="1" applyAlignment="1">
      <alignment horizontal="center" vertical="center" wrapText="1"/>
    </xf>
    <xf numFmtId="175" fontId="11" fillId="0" borderId="1" xfId="704" applyNumberFormat="1" applyFont="1" applyFill="1" applyBorder="1" applyAlignment="1">
      <alignment horizontal="center" vertical="center" wrapText="1"/>
    </xf>
    <xf numFmtId="175" fontId="11" fillId="0" borderId="1" xfId="1079" applyNumberFormat="1" applyFont="1" applyFill="1" applyBorder="1" applyAlignment="1">
      <alignment vertical="center" wrapText="1"/>
    </xf>
    <xf numFmtId="0" fontId="66" fillId="0" borderId="1" xfId="704" applyFont="1" applyFill="1" applyBorder="1" applyAlignment="1">
      <alignment horizontal="left" vertical="center" wrapText="1"/>
    </xf>
    <xf numFmtId="43" fontId="81" fillId="0" borderId="1" xfId="1079" applyFont="1" applyFill="1" applyBorder="1" applyAlignment="1">
      <alignment vertical="center" wrapText="1"/>
    </xf>
    <xf numFmtId="175" fontId="11" fillId="0" borderId="1" xfId="1080" applyNumberFormat="1" applyFont="1" applyFill="1" applyBorder="1" applyAlignment="1">
      <alignment vertical="center" wrapText="1"/>
    </xf>
    <xf numFmtId="43" fontId="11" fillId="0" borderId="1" xfId="1079" applyFont="1" applyFill="1" applyBorder="1" applyAlignment="1">
      <alignment horizontal="center" vertical="center" wrapText="1"/>
    </xf>
    <xf numFmtId="0" fontId="81" fillId="0" borderId="1" xfId="704" applyFont="1" applyFill="1" applyBorder="1" applyAlignment="1">
      <alignment horizontal="center" vertical="center"/>
    </xf>
    <xf numFmtId="43" fontId="81" fillId="0" borderId="1" xfId="1079" applyFont="1" applyFill="1" applyBorder="1" applyAlignment="1">
      <alignment horizontal="left" vertical="center" wrapText="1"/>
    </xf>
    <xf numFmtId="175" fontId="81" fillId="0" borderId="1" xfId="1080" applyNumberFormat="1" applyFont="1" applyFill="1" applyBorder="1" applyAlignment="1">
      <alignment horizontal="center" vertical="center" wrapText="1"/>
    </xf>
    <xf numFmtId="2" fontId="81" fillId="0" borderId="1" xfId="1080" applyNumberFormat="1" applyFont="1" applyFill="1" applyBorder="1" applyAlignment="1">
      <alignment horizontal="center" vertical="center" wrapText="1"/>
    </xf>
    <xf numFmtId="175" fontId="81" fillId="0" borderId="1" xfId="1080" applyNumberFormat="1" applyFont="1" applyFill="1" applyBorder="1" applyAlignment="1">
      <alignment vertical="center" wrapText="1"/>
    </xf>
    <xf numFmtId="43" fontId="81" fillId="0" borderId="1" xfId="1080" applyFont="1" applyFill="1" applyBorder="1" applyAlignment="1">
      <alignment horizontal="right" vertical="center" wrapText="1"/>
    </xf>
    <xf numFmtId="171" fontId="81" fillId="0" borderId="56" xfId="1079" applyNumberFormat="1" applyFont="1" applyFill="1" applyBorder="1" applyAlignment="1">
      <alignment vertical="center" wrapText="1"/>
    </xf>
    <xf numFmtId="43" fontId="81" fillId="52" borderId="1" xfId="1079" applyNumberFormat="1" applyFont="1" applyFill="1" applyBorder="1" applyAlignment="1">
      <alignment vertical="center" wrapText="1"/>
    </xf>
    <xf numFmtId="0" fontId="11" fillId="0" borderId="1" xfId="704" applyFont="1" applyFill="1" applyBorder="1" applyAlignment="1">
      <alignment horizontal="center" vertical="center"/>
    </xf>
    <xf numFmtId="171" fontId="11" fillId="0" borderId="1" xfId="1081" applyNumberFormat="1" applyFont="1" applyFill="1" applyBorder="1" applyAlignment="1">
      <alignment horizontal="center" vertical="center" wrapText="1"/>
    </xf>
    <xf numFmtId="43" fontId="11" fillId="0" borderId="1" xfId="1080" applyFont="1" applyFill="1" applyBorder="1" applyAlignment="1">
      <alignment horizontal="left" vertical="center" wrapText="1"/>
    </xf>
    <xf numFmtId="175" fontId="11" fillId="0" borderId="1" xfId="1080" applyNumberFormat="1" applyFont="1" applyFill="1" applyBorder="1" applyAlignment="1">
      <alignment horizontal="center" vertical="center" wrapText="1"/>
    </xf>
    <xf numFmtId="2" fontId="11" fillId="0" borderId="1" xfId="1080" applyNumberFormat="1" applyFont="1" applyFill="1" applyBorder="1" applyAlignment="1">
      <alignment horizontal="center" vertical="center" wrapText="1"/>
    </xf>
    <xf numFmtId="43" fontId="11" fillId="0" borderId="1" xfId="1079" applyFont="1" applyFill="1" applyBorder="1" applyAlignment="1">
      <alignment vertical="center" wrapText="1"/>
    </xf>
    <xf numFmtId="43" fontId="11" fillId="0" borderId="1" xfId="1080" applyFont="1" applyFill="1" applyBorder="1" applyAlignment="1">
      <alignment horizontal="right" vertical="center" wrapText="1"/>
    </xf>
    <xf numFmtId="171" fontId="11" fillId="0" borderId="56" xfId="1079" applyNumberFormat="1" applyFont="1" applyFill="1" applyBorder="1" applyAlignment="1">
      <alignment vertical="center" wrapText="1"/>
    </xf>
    <xf numFmtId="43" fontId="11" fillId="52" borderId="1" xfId="1079" applyNumberFormat="1" applyFont="1" applyFill="1" applyBorder="1" applyAlignment="1">
      <alignment vertical="center" wrapText="1"/>
    </xf>
    <xf numFmtId="0" fontId="66" fillId="0" borderId="1" xfId="704" applyFont="1" applyFill="1" applyBorder="1" applyAlignment="1">
      <alignment horizontal="center" vertical="center"/>
    </xf>
    <xf numFmtId="171" fontId="66" fillId="0" borderId="1" xfId="1081" applyNumberFormat="1" applyFont="1" applyFill="1" applyBorder="1" applyAlignment="1">
      <alignment horizontal="center" vertical="center" wrapText="1"/>
    </xf>
    <xf numFmtId="43" fontId="66" fillId="0" borderId="1" xfId="1080" applyFont="1" applyFill="1" applyBorder="1" applyAlignment="1">
      <alignment horizontal="left" vertical="center" wrapText="1"/>
    </xf>
    <xf numFmtId="37" fontId="81" fillId="0" borderId="1" xfId="1080" applyNumberFormat="1" applyFont="1" applyFill="1" applyBorder="1" applyAlignment="1">
      <alignment horizontal="center" vertical="center" wrapText="1"/>
    </xf>
    <xf numFmtId="0" fontId="66" fillId="0" borderId="1" xfId="704" applyFont="1" applyFill="1" applyBorder="1" applyAlignment="1">
      <alignment horizontal="center" vertical="center" wrapText="1"/>
    </xf>
    <xf numFmtId="175" fontId="66" fillId="0" borderId="1" xfId="1080" applyNumberFormat="1" applyFont="1" applyFill="1" applyBorder="1" applyAlignment="1">
      <alignment vertical="center" wrapText="1"/>
    </xf>
    <xf numFmtId="2" fontId="66" fillId="0" borderId="1" xfId="1080" applyNumberFormat="1" applyFont="1" applyFill="1" applyBorder="1" applyAlignment="1">
      <alignment horizontal="center" vertical="center" wrapText="1"/>
    </xf>
    <xf numFmtId="43" fontId="66" fillId="0" borderId="1" xfId="1079" applyFont="1" applyFill="1" applyBorder="1" applyAlignment="1">
      <alignment vertical="center" wrapText="1"/>
    </xf>
    <xf numFmtId="2" fontId="66" fillId="0" borderId="1" xfId="1079" applyNumberFormat="1" applyFont="1" applyFill="1" applyBorder="1" applyAlignment="1">
      <alignment vertical="center" wrapText="1"/>
    </xf>
    <xf numFmtId="0" fontId="66" fillId="0" borderId="1" xfId="704" applyFont="1" applyFill="1" applyBorder="1" applyAlignment="1">
      <alignment vertical="center" wrapText="1"/>
    </xf>
    <xf numFmtId="0" fontId="66" fillId="0" borderId="56" xfId="704" applyFont="1" applyFill="1" applyBorder="1" applyAlignment="1">
      <alignment vertical="center" wrapText="1"/>
    </xf>
    <xf numFmtId="0" fontId="66" fillId="0" borderId="0" xfId="704" applyFont="1" applyFill="1" applyAlignment="1">
      <alignment vertical="center" wrapText="1"/>
    </xf>
    <xf numFmtId="43" fontId="11" fillId="0" borderId="1" xfId="1080" applyFont="1" applyFill="1" applyBorder="1" applyAlignment="1">
      <alignment vertical="center" wrapText="1"/>
    </xf>
    <xf numFmtId="43" fontId="11" fillId="52" borderId="1" xfId="1079" applyFont="1" applyFill="1" applyBorder="1" applyAlignment="1">
      <alignment vertical="center" wrapText="1"/>
    </xf>
    <xf numFmtId="43" fontId="11" fillId="0" borderId="56" xfId="1079" applyFont="1" applyFill="1" applyBorder="1" applyAlignment="1">
      <alignment vertical="center" wrapText="1"/>
    </xf>
    <xf numFmtId="175" fontId="11" fillId="0" borderId="1" xfId="1080" applyNumberFormat="1" applyFont="1" applyFill="1" applyBorder="1" applyAlignment="1">
      <alignment horizontal="right" vertical="center" wrapText="1"/>
    </xf>
    <xf numFmtId="43" fontId="11" fillId="0" borderId="1" xfId="1079" applyFont="1" applyFill="1" applyBorder="1" applyAlignment="1">
      <alignment horizontal="right" vertical="center" wrapText="1"/>
    </xf>
    <xf numFmtId="43" fontId="11" fillId="52" borderId="1" xfId="1079" applyFont="1" applyFill="1" applyBorder="1" applyAlignment="1">
      <alignment horizontal="right" vertical="center" wrapText="1"/>
    </xf>
    <xf numFmtId="2" fontId="11" fillId="52" borderId="1" xfId="704" applyNumberFormat="1" applyFont="1" applyFill="1" applyBorder="1" applyAlignment="1">
      <alignment vertical="center" wrapText="1"/>
    </xf>
    <xf numFmtId="175" fontId="11" fillId="52" borderId="1" xfId="1080" applyNumberFormat="1" applyFont="1" applyFill="1" applyBorder="1" applyAlignment="1">
      <alignment vertical="center" wrapText="1"/>
    </xf>
    <xf numFmtId="175" fontId="66" fillId="0" borderId="1" xfId="1080" applyNumberFormat="1" applyFont="1" applyFill="1" applyBorder="1" applyAlignment="1">
      <alignment horizontal="center" vertical="center" wrapText="1"/>
    </xf>
    <xf numFmtId="171" fontId="66" fillId="0" borderId="1" xfId="1079" applyNumberFormat="1" applyFont="1" applyFill="1" applyBorder="1" applyAlignment="1">
      <alignment vertical="center" wrapText="1"/>
    </xf>
    <xf numFmtId="171" fontId="66" fillId="0" borderId="1" xfId="1079" applyNumberFormat="1" applyFont="1" applyFill="1" applyBorder="1" applyAlignment="1">
      <alignment horizontal="center" vertical="center" wrapText="1"/>
    </xf>
    <xf numFmtId="175" fontId="66" fillId="0" borderId="1" xfId="1079" applyNumberFormat="1" applyFont="1" applyFill="1" applyBorder="1" applyAlignment="1">
      <alignment horizontal="center" vertical="center" wrapText="1"/>
    </xf>
    <xf numFmtId="175" fontId="66" fillId="0" borderId="1" xfId="1079" applyNumberFormat="1" applyFont="1" applyFill="1" applyBorder="1" applyAlignment="1">
      <alignment vertical="center" wrapText="1"/>
    </xf>
    <xf numFmtId="2" fontId="66" fillId="0" borderId="1" xfId="704" applyNumberFormat="1" applyFont="1" applyFill="1" applyBorder="1" applyAlignment="1">
      <alignment vertical="center" wrapText="1"/>
    </xf>
    <xf numFmtId="175" fontId="232" fillId="0" borderId="1" xfId="1079" applyNumberFormat="1" applyFont="1" applyFill="1" applyBorder="1" applyAlignment="1">
      <alignment vertical="center" wrapText="1"/>
    </xf>
    <xf numFmtId="175" fontId="232" fillId="0" borderId="1" xfId="1079" applyNumberFormat="1" applyFont="1" applyFill="1" applyBorder="1" applyAlignment="1">
      <alignment horizontal="center" vertical="center" wrapText="1"/>
    </xf>
    <xf numFmtId="37" fontId="11" fillId="0" borderId="1" xfId="1080" applyNumberFormat="1" applyFont="1" applyFill="1" applyBorder="1" applyAlignment="1">
      <alignment vertical="center" wrapText="1"/>
    </xf>
    <xf numFmtId="175" fontId="11" fillId="0" borderId="1" xfId="704" applyNumberFormat="1" applyFont="1" applyFill="1" applyBorder="1" applyAlignment="1">
      <alignment vertical="center" wrapText="1"/>
    </xf>
    <xf numFmtId="1" fontId="11" fillId="0" borderId="1" xfId="704" applyNumberFormat="1" applyFont="1" applyFill="1" applyBorder="1" applyAlignment="1">
      <alignment vertical="center" wrapText="1"/>
    </xf>
    <xf numFmtId="171" fontId="11" fillId="0" borderId="1" xfId="1079" applyNumberFormat="1" applyFont="1" applyFill="1" applyBorder="1" applyAlignment="1">
      <alignment horizontal="center" vertical="center" wrapText="1"/>
    </xf>
    <xf numFmtId="0" fontId="233" fillId="0" borderId="1" xfId="1082" applyFont="1" applyBorder="1" applyAlignment="1">
      <alignment horizontal="center" vertical="center"/>
    </xf>
    <xf numFmtId="3" fontId="24" fillId="0" borderId="1" xfId="1082" applyNumberFormat="1" applyFont="1" applyFill="1" applyBorder="1" applyAlignment="1">
      <alignment vertical="center"/>
    </xf>
    <xf numFmtId="175" fontId="11" fillId="0" borderId="1" xfId="1079" applyNumberFormat="1" applyFont="1" applyFill="1" applyBorder="1" applyAlignment="1">
      <alignment horizontal="left" vertical="center" wrapText="1"/>
    </xf>
    <xf numFmtId="43" fontId="233" fillId="0" borderId="1" xfId="1079" applyFont="1" applyBorder="1" applyAlignment="1">
      <alignment vertical="center"/>
    </xf>
    <xf numFmtId="175" fontId="11" fillId="0" borderId="1" xfId="1079" applyNumberFormat="1" applyFont="1" applyFill="1" applyBorder="1" applyAlignment="1">
      <alignment horizontal="right" vertical="center" wrapText="1"/>
    </xf>
    <xf numFmtId="43" fontId="81" fillId="0" borderId="1" xfId="1080" applyFont="1" applyFill="1" applyBorder="1" applyAlignment="1">
      <alignment horizontal="center" vertical="center" wrapText="1"/>
    </xf>
    <xf numFmtId="2" fontId="81" fillId="0" borderId="1" xfId="704" applyNumberFormat="1" applyFont="1" applyFill="1" applyBorder="1" applyAlignment="1">
      <alignment horizontal="center" vertical="center" wrapText="1"/>
    </xf>
    <xf numFmtId="174" fontId="11" fillId="0" borderId="1" xfId="704" applyNumberFormat="1" applyFont="1" applyFill="1" applyBorder="1" applyAlignment="1">
      <alignment horizontal="center" vertical="center" wrapText="1"/>
    </xf>
    <xf numFmtId="2" fontId="11" fillId="0" borderId="1" xfId="704" applyNumberFormat="1" applyFont="1" applyFill="1" applyBorder="1" applyAlignment="1">
      <alignment horizontal="center" vertical="center" wrapText="1"/>
    </xf>
    <xf numFmtId="1" fontId="11" fillId="0" borderId="1" xfId="704" applyNumberFormat="1" applyFont="1" applyFill="1" applyBorder="1" applyAlignment="1">
      <alignment horizontal="center" vertical="center" wrapText="1"/>
    </xf>
    <xf numFmtId="175" fontId="11" fillId="0" borderId="1" xfId="704" quotePrefix="1" applyNumberFormat="1" applyFont="1" applyFill="1" applyBorder="1" applyAlignment="1">
      <alignment horizontal="right" vertical="center" wrapText="1"/>
    </xf>
    <xf numFmtId="175" fontId="11" fillId="0" borderId="1" xfId="704" applyNumberFormat="1" applyFont="1" applyFill="1" applyBorder="1" applyAlignment="1">
      <alignment horizontal="right" vertical="center" wrapText="1"/>
    </xf>
    <xf numFmtId="175" fontId="11" fillId="0" borderId="56" xfId="704" applyNumberFormat="1" applyFont="1" applyFill="1" applyBorder="1" applyAlignment="1">
      <alignment horizontal="right" vertical="center" wrapText="1"/>
    </xf>
    <xf numFmtId="261" fontId="11" fillId="0" borderId="1" xfId="704" applyNumberFormat="1" applyFont="1" applyFill="1" applyBorder="1" applyAlignment="1">
      <alignment horizontal="center" vertical="center" wrapText="1"/>
    </xf>
    <xf numFmtId="2" fontId="11" fillId="0" borderId="1" xfId="1080" applyNumberFormat="1" applyFont="1" applyFill="1" applyBorder="1" applyAlignment="1">
      <alignment horizontal="center" vertical="center"/>
    </xf>
    <xf numFmtId="2" fontId="11" fillId="0" borderId="1" xfId="1079" applyNumberFormat="1" applyFont="1" applyFill="1" applyBorder="1" applyAlignment="1">
      <alignment horizontal="center" vertical="center" wrapText="1"/>
    </xf>
    <xf numFmtId="2" fontId="11" fillId="0" borderId="56" xfId="704" applyNumberFormat="1" applyFont="1" applyFill="1" applyBorder="1" applyAlignment="1">
      <alignment horizontal="center" vertical="center" wrapText="1"/>
    </xf>
    <xf numFmtId="0" fontId="11" fillId="0" borderId="1" xfId="704" quotePrefix="1" applyFont="1" applyFill="1" applyBorder="1" applyAlignment="1">
      <alignment horizontal="center" vertical="center"/>
    </xf>
    <xf numFmtId="2" fontId="11" fillId="0" borderId="1" xfId="704" applyNumberFormat="1" applyFont="1" applyFill="1" applyBorder="1" applyAlignment="1">
      <alignment horizontal="center" vertical="center"/>
    </xf>
    <xf numFmtId="174" fontId="11" fillId="0" borderId="56" xfId="704" applyNumberFormat="1" applyFont="1" applyFill="1" applyBorder="1" applyAlignment="1">
      <alignment horizontal="center" vertical="center" wrapText="1"/>
    </xf>
    <xf numFmtId="1" fontId="11" fillId="0" borderId="1" xfId="704" quotePrefix="1" applyNumberFormat="1" applyFont="1" applyFill="1" applyBorder="1" applyAlignment="1">
      <alignment horizontal="center" vertical="center" wrapText="1"/>
    </xf>
    <xf numFmtId="1" fontId="11" fillId="0" borderId="56" xfId="704" applyNumberFormat="1" applyFont="1" applyFill="1" applyBorder="1" applyAlignment="1">
      <alignment horizontal="center" vertical="center" wrapText="1"/>
    </xf>
    <xf numFmtId="171" fontId="11" fillId="0" borderId="1" xfId="1080" applyNumberFormat="1" applyFont="1" applyFill="1" applyBorder="1" applyAlignment="1">
      <alignment horizontal="right" vertical="center" wrapText="1"/>
    </xf>
    <xf numFmtId="171" fontId="11" fillId="0" borderId="1" xfId="1080" applyNumberFormat="1" applyFont="1" applyFill="1" applyBorder="1" applyAlignment="1">
      <alignment horizontal="center" vertical="center" wrapText="1"/>
    </xf>
    <xf numFmtId="171" fontId="11" fillId="0" borderId="1" xfId="704" applyNumberFormat="1" applyFont="1" applyFill="1" applyBorder="1" applyAlignment="1">
      <alignment horizontal="center" vertical="center" wrapText="1"/>
    </xf>
    <xf numFmtId="2" fontId="11" fillId="52" borderId="1" xfId="704" applyNumberFormat="1" applyFont="1" applyFill="1" applyBorder="1" applyAlignment="1">
      <alignment horizontal="center" vertical="center" wrapText="1"/>
    </xf>
    <xf numFmtId="2" fontId="11" fillId="52" borderId="1" xfId="460" applyNumberFormat="1" applyFont="1" applyFill="1" applyBorder="1" applyAlignment="1">
      <alignment horizontal="center" vertical="center" wrapText="1"/>
    </xf>
    <xf numFmtId="2" fontId="11" fillId="52" borderId="1" xfId="1080" applyNumberFormat="1" applyFont="1" applyFill="1" applyBorder="1" applyAlignment="1">
      <alignment horizontal="center" vertical="center" wrapText="1"/>
    </xf>
    <xf numFmtId="2" fontId="11" fillId="52" borderId="1" xfId="1082" applyNumberFormat="1" applyFont="1" applyFill="1" applyBorder="1" applyAlignment="1">
      <alignment horizontal="center" vertical="center"/>
    </xf>
    <xf numFmtId="0" fontId="24" fillId="0" borderId="1" xfId="1082" applyFont="1" applyBorder="1"/>
    <xf numFmtId="3" fontId="11" fillId="52" borderId="1" xfId="1080" applyNumberFormat="1" applyFont="1" applyFill="1" applyBorder="1" applyAlignment="1">
      <alignment horizontal="right" vertical="center" wrapText="1"/>
    </xf>
    <xf numFmtId="3" fontId="11" fillId="52" borderId="1" xfId="704" applyNumberFormat="1" applyFont="1" applyFill="1" applyBorder="1" applyAlignment="1">
      <alignment horizontal="center" vertical="center" wrapText="1"/>
    </xf>
    <xf numFmtId="3" fontId="11" fillId="52" borderId="1" xfId="1082" applyNumberFormat="1" applyFont="1" applyFill="1" applyBorder="1" applyAlignment="1">
      <alignment horizontal="center" vertical="center"/>
    </xf>
    <xf numFmtId="3" fontId="11" fillId="52" borderId="1" xfId="704" applyNumberFormat="1" applyFont="1" applyFill="1" applyBorder="1" applyAlignment="1">
      <alignment vertical="center" wrapText="1"/>
    </xf>
    <xf numFmtId="43" fontId="11" fillId="52" borderId="1" xfId="704" quotePrefix="1" applyNumberFormat="1" applyFont="1" applyFill="1" applyBorder="1" applyAlignment="1">
      <alignment horizontal="right" vertical="center" wrapText="1"/>
    </xf>
    <xf numFmtId="43" fontId="11" fillId="52" borderId="1" xfId="704" applyNumberFormat="1" applyFont="1" applyFill="1" applyBorder="1" applyAlignment="1">
      <alignment horizontal="center" vertical="center" wrapText="1"/>
    </xf>
    <xf numFmtId="43" fontId="11" fillId="52" borderId="1" xfId="1079" applyFont="1" applyFill="1" applyBorder="1" applyAlignment="1">
      <alignment horizontal="centerContinuous" vertical="center" wrapText="1"/>
    </xf>
    <xf numFmtId="2" fontId="11" fillId="52" borderId="1" xfId="704" applyNumberFormat="1" applyFont="1" applyFill="1" applyBorder="1" applyAlignment="1">
      <alignment horizontal="centerContinuous" vertical="center" wrapText="1"/>
    </xf>
    <xf numFmtId="2" fontId="11" fillId="0" borderId="1" xfId="704" applyNumberFormat="1" applyFont="1" applyFill="1" applyBorder="1" applyAlignment="1">
      <alignment horizontal="centerContinuous" vertical="center" wrapText="1"/>
    </xf>
    <xf numFmtId="171" fontId="11" fillId="0" borderId="1" xfId="479" applyNumberFormat="1" applyFont="1" applyFill="1" applyBorder="1" applyAlignment="1">
      <alignment horizontal="right" vertical="center"/>
    </xf>
    <xf numFmtId="172" fontId="11" fillId="0" borderId="1" xfId="479" applyNumberFormat="1" applyFont="1" applyFill="1" applyBorder="1" applyAlignment="1">
      <alignment horizontal="right" vertical="center"/>
    </xf>
    <xf numFmtId="2" fontId="11" fillId="0" borderId="1" xfId="479" applyNumberFormat="1" applyFont="1" applyFill="1" applyBorder="1" applyAlignment="1">
      <alignment horizontal="center" vertical="center"/>
    </xf>
    <xf numFmtId="2" fontId="11" fillId="0" borderId="1" xfId="704" applyNumberFormat="1" applyFont="1" applyFill="1" applyBorder="1" applyAlignment="1">
      <alignment horizontal="right" vertical="center"/>
    </xf>
    <xf numFmtId="0" fontId="11" fillId="0" borderId="1" xfId="704" applyFont="1" applyFill="1" applyBorder="1" applyAlignment="1">
      <alignment horizontal="right" vertical="center"/>
    </xf>
    <xf numFmtId="174" fontId="11" fillId="0" borderId="1" xfId="704" applyNumberFormat="1" applyFont="1" applyFill="1" applyBorder="1" applyAlignment="1">
      <alignment vertical="center"/>
    </xf>
    <xf numFmtId="2" fontId="81" fillId="0" borderId="1" xfId="704" applyNumberFormat="1" applyFont="1" applyFill="1" applyBorder="1" applyAlignment="1">
      <alignment vertical="center"/>
    </xf>
    <xf numFmtId="0" fontId="81" fillId="0" borderId="1" xfId="704" applyFont="1" applyFill="1" applyBorder="1" applyAlignment="1">
      <alignment vertical="center"/>
    </xf>
    <xf numFmtId="0" fontId="81" fillId="0" borderId="56" xfId="704" applyFont="1" applyFill="1" applyBorder="1" applyAlignment="1">
      <alignment vertical="center"/>
    </xf>
    <xf numFmtId="0" fontId="81" fillId="0" borderId="0" xfId="704" applyFont="1" applyFill="1" applyAlignment="1">
      <alignment vertical="center"/>
    </xf>
    <xf numFmtId="0" fontId="11" fillId="0" borderId="0" xfId="704" applyFont="1" applyFill="1" applyAlignment="1">
      <alignment horizontal="center" vertical="center"/>
    </xf>
    <xf numFmtId="0" fontId="11" fillId="0" borderId="0" xfId="704" applyFont="1" applyFill="1" applyAlignment="1">
      <alignment horizontal="center" vertical="center" wrapText="1"/>
    </xf>
    <xf numFmtId="2" fontId="11" fillId="0" borderId="0" xfId="704" applyNumberFormat="1" applyFont="1" applyFill="1" applyAlignment="1">
      <alignment horizontal="center" vertical="center"/>
    </xf>
    <xf numFmtId="43" fontId="11" fillId="0" borderId="0" xfId="1080" applyFont="1" applyFill="1" applyAlignment="1">
      <alignment vertical="center"/>
    </xf>
    <xf numFmtId="2" fontId="11" fillId="0" borderId="1" xfId="1079" applyNumberFormat="1" applyFont="1" applyFill="1" applyBorder="1" applyAlignment="1">
      <alignment vertical="center" wrapText="1"/>
    </xf>
    <xf numFmtId="171" fontId="11" fillId="0" borderId="1" xfId="1081" applyNumberFormat="1" applyFont="1" applyFill="1" applyBorder="1" applyAlignment="1">
      <alignment vertical="center" wrapText="1"/>
    </xf>
    <xf numFmtId="171" fontId="11" fillId="0" borderId="1" xfId="442" applyNumberFormat="1" applyFont="1" applyFill="1" applyBorder="1" applyAlignment="1">
      <alignment horizontal="center" vertical="center" wrapText="1"/>
    </xf>
    <xf numFmtId="174" fontId="11" fillId="53" borderId="1" xfId="704" applyNumberFormat="1" applyFont="1" applyFill="1" applyBorder="1" applyAlignment="1">
      <alignment horizontal="center" vertical="center"/>
    </xf>
    <xf numFmtId="174" fontId="11" fillId="53" borderId="1" xfId="704" applyNumberFormat="1" applyFont="1" applyFill="1" applyBorder="1" applyAlignment="1">
      <alignment horizontal="left" vertical="center" wrapText="1"/>
    </xf>
    <xf numFmtId="174" fontId="11" fillId="53" borderId="1" xfId="704" applyNumberFormat="1" applyFont="1" applyFill="1" applyBorder="1" applyAlignment="1">
      <alignment horizontal="center" vertical="center" wrapText="1"/>
    </xf>
    <xf numFmtId="174" fontId="11" fillId="53" borderId="1" xfId="704" applyNumberFormat="1" applyFont="1" applyFill="1" applyBorder="1" applyAlignment="1">
      <alignment horizontal="right" vertical="center" wrapText="1"/>
    </xf>
    <xf numFmtId="174" fontId="11" fillId="53" borderId="1" xfId="704" applyNumberFormat="1" applyFont="1" applyFill="1" applyBorder="1" applyAlignment="1">
      <alignment vertical="center" wrapText="1"/>
    </xf>
    <xf numFmtId="174" fontId="11" fillId="53" borderId="56" xfId="704" applyNumberFormat="1" applyFont="1" applyFill="1" applyBorder="1" applyAlignment="1">
      <alignment vertical="center" wrapText="1"/>
    </xf>
    <xf numFmtId="174" fontId="11" fillId="53" borderId="0" xfId="704" applyNumberFormat="1" applyFont="1" applyFill="1" applyAlignment="1">
      <alignment vertical="center" wrapText="1"/>
    </xf>
    <xf numFmtId="0" fontId="78" fillId="52" borderId="1" xfId="0" applyFont="1" applyFill="1" applyBorder="1" applyAlignment="1">
      <alignment horizontal="center" vertical="center"/>
    </xf>
    <xf numFmtId="174" fontId="11" fillId="52" borderId="1" xfId="704" applyNumberFormat="1" applyFont="1" applyFill="1" applyBorder="1" applyAlignment="1">
      <alignment horizontal="left" vertical="center" wrapText="1"/>
    </xf>
    <xf numFmtId="0" fontId="23" fillId="52" borderId="1" xfId="0" applyFont="1" applyFill="1" applyBorder="1" applyAlignment="1">
      <alignment horizontal="center" vertical="center" wrapText="1"/>
    </xf>
    <xf numFmtId="174" fontId="11" fillId="52" borderId="1" xfId="704" applyNumberFormat="1" applyFont="1" applyFill="1" applyBorder="1" applyAlignment="1">
      <alignment horizontal="right" vertical="center" wrapText="1"/>
    </xf>
    <xf numFmtId="175" fontId="78" fillId="52" borderId="8" xfId="0" applyNumberFormat="1" applyFont="1" applyFill="1" applyBorder="1" applyAlignment="1">
      <alignment horizontal="right" vertical="center" wrapText="1"/>
    </xf>
    <xf numFmtId="175" fontId="78" fillId="52" borderId="8" xfId="0" applyNumberFormat="1" applyFont="1" applyFill="1" applyBorder="1" applyAlignment="1">
      <alignment horizontal="center" vertical="center" wrapText="1"/>
    </xf>
    <xf numFmtId="171" fontId="78" fillId="52" borderId="8" xfId="0" applyNumberFormat="1" applyFont="1" applyFill="1" applyBorder="1" applyAlignment="1">
      <alignment horizontal="right" vertical="center" wrapText="1"/>
    </xf>
    <xf numFmtId="0" fontId="78" fillId="52" borderId="8" xfId="0" applyFont="1" applyFill="1" applyBorder="1" applyAlignment="1">
      <alignment horizontal="right" vertical="center"/>
    </xf>
    <xf numFmtId="171" fontId="78" fillId="52" borderId="8" xfId="442" applyNumberFormat="1" applyFont="1" applyFill="1" applyBorder="1" applyAlignment="1">
      <alignment horizontal="right" vertical="center" wrapText="1"/>
    </xf>
    <xf numFmtId="0" fontId="83" fillId="52" borderId="0" xfId="0" applyFont="1" applyFill="1" applyAlignment="1">
      <alignment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33" fillId="0" borderId="55" xfId="0" applyFont="1" applyBorder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65" fillId="52" borderId="46" xfId="727" applyNumberFormat="1" applyFont="1" applyFill="1" applyBorder="1" applyAlignment="1">
      <alignment horizontal="center" vertical="center" wrapText="1"/>
    </xf>
    <xf numFmtId="0" fontId="65" fillId="52" borderId="43" xfId="727" applyNumberFormat="1" applyFont="1" applyFill="1" applyBorder="1" applyAlignment="1">
      <alignment horizontal="center" vertical="center" wrapText="1"/>
    </xf>
    <xf numFmtId="0" fontId="11" fillId="52" borderId="46" xfId="727" applyNumberFormat="1" applyFont="1" applyFill="1" applyBorder="1" applyAlignment="1">
      <alignment horizontal="left" vertical="center" wrapText="1"/>
    </xf>
    <xf numFmtId="0" fontId="11" fillId="52" borderId="43" xfId="727" applyNumberFormat="1" applyFont="1" applyFill="1" applyBorder="1" applyAlignment="1">
      <alignment horizontal="left" vertical="center" wrapText="1"/>
    </xf>
    <xf numFmtId="0" fontId="64" fillId="52" borderId="46" xfId="727" applyNumberFormat="1" applyFont="1" applyFill="1" applyBorder="1" applyAlignment="1">
      <alignment horizontal="right" vertical="center" wrapText="1"/>
    </xf>
    <xf numFmtId="0" fontId="64" fillId="52" borderId="43" xfId="727" applyNumberFormat="1" applyFont="1" applyFill="1" applyBorder="1" applyAlignment="1">
      <alignment horizontal="left" vertical="center" wrapText="1"/>
    </xf>
    <xf numFmtId="0" fontId="66" fillId="52" borderId="46" xfId="727" applyNumberFormat="1" applyFont="1" applyFill="1" applyBorder="1" applyAlignment="1">
      <alignment horizontal="left" vertical="center" wrapText="1"/>
    </xf>
    <xf numFmtId="0" fontId="66" fillId="52" borderId="43" xfId="727" applyNumberFormat="1" applyFont="1" applyFill="1" applyBorder="1" applyAlignment="1">
      <alignment horizontal="left" vertical="center" wrapText="1"/>
    </xf>
    <xf numFmtId="0" fontId="24" fillId="52" borderId="46" xfId="727" applyFont="1" applyFill="1" applyBorder="1" applyAlignment="1">
      <alignment horizontal="right" vertical="center" wrapText="1"/>
    </xf>
    <xf numFmtId="0" fontId="24" fillId="52" borderId="43" xfId="727" applyFont="1" applyFill="1" applyBorder="1" applyAlignment="1">
      <alignment horizontal="center" vertical="center" wrapText="1"/>
    </xf>
    <xf numFmtId="0" fontId="24" fillId="52" borderId="46" xfId="727" applyNumberFormat="1" applyFont="1" applyFill="1" applyBorder="1" applyAlignment="1">
      <alignment horizontal="right" vertical="center" wrapText="1"/>
    </xf>
    <xf numFmtId="0" fontId="24" fillId="52" borderId="43" xfId="727" applyNumberFormat="1" applyFont="1" applyFill="1" applyBorder="1" applyAlignment="1">
      <alignment horizontal="left" vertical="center" wrapText="1"/>
    </xf>
    <xf numFmtId="0" fontId="64" fillId="52" borderId="46" xfId="727" applyNumberFormat="1" applyFont="1" applyFill="1" applyBorder="1" applyAlignment="1">
      <alignment horizontal="left" vertical="center" wrapText="1"/>
    </xf>
    <xf numFmtId="0" fontId="38" fillId="52" borderId="0" xfId="727" applyFont="1" applyFill="1" applyAlignment="1">
      <alignment horizontal="right" vertical="center" wrapText="1"/>
    </xf>
    <xf numFmtId="0" fontId="71" fillId="52" borderId="0" xfId="727" applyFont="1" applyFill="1" applyAlignment="1">
      <alignment horizontal="center" vertical="center" wrapText="1"/>
    </xf>
    <xf numFmtId="0" fontId="72" fillId="52" borderId="0" xfId="727" applyFont="1" applyFill="1" applyAlignment="1">
      <alignment horizontal="center" vertical="center" wrapText="1"/>
    </xf>
    <xf numFmtId="0" fontId="64" fillId="52" borderId="0" xfId="727" applyNumberFormat="1" applyFont="1" applyFill="1" applyBorder="1" applyAlignment="1">
      <alignment horizontal="right" vertical="center" wrapText="1"/>
    </xf>
    <xf numFmtId="0" fontId="65" fillId="52" borderId="28" xfId="727" applyFont="1" applyFill="1" applyBorder="1" applyAlignment="1">
      <alignment horizontal="center" vertical="center" wrapText="1"/>
    </xf>
    <xf numFmtId="0" fontId="65" fillId="52" borderId="56" xfId="727" applyFont="1" applyFill="1" applyBorder="1" applyAlignment="1">
      <alignment horizontal="center" vertical="center" wrapText="1"/>
    </xf>
    <xf numFmtId="0" fontId="65" fillId="52" borderId="0" xfId="757" applyFont="1" applyFill="1" applyAlignment="1">
      <alignment horizontal="center" vertical="center" wrapText="1"/>
    </xf>
    <xf numFmtId="0" fontId="65" fillId="52" borderId="0" xfId="757" applyFont="1" applyFill="1" applyAlignment="1">
      <alignment horizontal="center" vertical="center"/>
    </xf>
    <xf numFmtId="43" fontId="64" fillId="52" borderId="0" xfId="509" applyFont="1" applyFill="1" applyBorder="1" applyAlignment="1">
      <alignment horizontal="right" vertical="center"/>
    </xf>
    <xf numFmtId="43" fontId="64" fillId="52" borderId="5" xfId="509" applyFont="1" applyFill="1" applyBorder="1" applyAlignment="1">
      <alignment horizontal="right" vertical="center"/>
    </xf>
    <xf numFmtId="0" fontId="19" fillId="0" borderId="5" xfId="0" applyFont="1" applyFill="1" applyBorder="1" applyAlignment="1">
      <alignment horizontal="left" vertical="center"/>
    </xf>
    <xf numFmtId="0" fontId="65" fillId="0" borderId="1" xfId="0" applyFont="1" applyFill="1" applyBorder="1" applyAlignment="1">
      <alignment horizontal="center" vertical="center" wrapText="1"/>
    </xf>
    <xf numFmtId="0" fontId="80" fillId="0" borderId="1" xfId="0" applyFont="1" applyFill="1" applyBorder="1" applyAlignment="1">
      <alignment horizontal="center" vertical="center"/>
    </xf>
    <xf numFmtId="0" fontId="221" fillId="0" borderId="0" xfId="0" applyFont="1" applyFill="1" applyBorder="1" applyAlignment="1">
      <alignment horizontal="center" vertical="center" wrapText="1"/>
    </xf>
    <xf numFmtId="0" fontId="221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3" fontId="23" fillId="0" borderId="46" xfId="758" applyNumberFormat="1" applyFont="1" applyFill="1" applyBorder="1" applyAlignment="1">
      <alignment horizontal="center" vertical="center" wrapText="1"/>
    </xf>
    <xf numFmtId="3" fontId="23" fillId="0" borderId="48" xfId="758" applyNumberFormat="1" applyFont="1" applyFill="1" applyBorder="1" applyAlignment="1">
      <alignment horizontal="center" vertical="center" wrapText="1"/>
    </xf>
    <xf numFmtId="3" fontId="23" fillId="0" borderId="43" xfId="758" applyNumberFormat="1" applyFont="1" applyFill="1" applyBorder="1" applyAlignment="1">
      <alignment horizontal="center" vertical="center" wrapText="1"/>
    </xf>
    <xf numFmtId="3" fontId="23" fillId="0" borderId="46" xfId="758" applyNumberFormat="1" applyFont="1" applyFill="1" applyBorder="1" applyAlignment="1">
      <alignment horizontal="center" vertical="center"/>
    </xf>
    <xf numFmtId="3" fontId="23" fillId="0" borderId="48" xfId="758" applyNumberFormat="1" applyFont="1" applyFill="1" applyBorder="1" applyAlignment="1">
      <alignment horizontal="center" vertical="center"/>
    </xf>
    <xf numFmtId="3" fontId="23" fillId="0" borderId="43" xfId="758" applyNumberFormat="1" applyFont="1" applyFill="1" applyBorder="1" applyAlignment="1">
      <alignment horizontal="center" vertical="center"/>
    </xf>
    <xf numFmtId="0" fontId="19" fillId="0" borderId="0" xfId="758" applyFont="1" applyFill="1" applyBorder="1" applyAlignment="1">
      <alignment horizontal="right" vertical="center" wrapText="1"/>
    </xf>
    <xf numFmtId="0" fontId="40" fillId="0" borderId="0" xfId="758" applyFont="1" applyFill="1" applyBorder="1" applyAlignment="1">
      <alignment horizontal="right" vertical="center" wrapText="1"/>
    </xf>
    <xf numFmtId="0" fontId="19" fillId="0" borderId="0" xfId="758" applyFont="1" applyFill="1" applyBorder="1" applyAlignment="1">
      <alignment horizontal="center" vertical="center" wrapText="1"/>
    </xf>
    <xf numFmtId="0" fontId="19" fillId="0" borderId="28" xfId="758" applyFont="1" applyFill="1" applyBorder="1" applyAlignment="1">
      <alignment horizontal="center" vertical="center" wrapText="1"/>
    </xf>
    <xf numFmtId="0" fontId="19" fillId="0" borderId="13" xfId="758" applyFont="1" applyFill="1" applyBorder="1" applyAlignment="1">
      <alignment horizontal="center" vertical="center" wrapText="1"/>
    </xf>
    <xf numFmtId="0" fontId="19" fillId="0" borderId="56" xfId="758" applyFont="1" applyFill="1" applyBorder="1" applyAlignment="1">
      <alignment horizontal="center" vertical="center" wrapText="1"/>
    </xf>
    <xf numFmtId="0" fontId="32" fillId="0" borderId="57" xfId="0" applyFont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72" fillId="0" borderId="0" xfId="704" applyFont="1" applyFill="1" applyBorder="1" applyAlignment="1">
      <alignment horizontal="center" vertical="center"/>
    </xf>
    <xf numFmtId="0" fontId="81" fillId="0" borderId="1" xfId="704" applyFont="1" applyFill="1" applyBorder="1" applyAlignment="1">
      <alignment horizontal="center" vertical="center" wrapText="1"/>
    </xf>
    <xf numFmtId="0" fontId="81" fillId="0" borderId="1" xfId="704" applyFont="1" applyFill="1" applyBorder="1" applyAlignment="1">
      <alignment horizontal="center" vertical="center"/>
    </xf>
    <xf numFmtId="0" fontId="81" fillId="0" borderId="56" xfId="704" applyFont="1" applyFill="1" applyBorder="1" applyAlignment="1">
      <alignment horizontal="center" vertical="center" wrapText="1"/>
    </xf>
    <xf numFmtId="43" fontId="11" fillId="52" borderId="28" xfId="1079" applyFont="1" applyFill="1" applyBorder="1" applyAlignment="1">
      <alignment horizontal="center" vertical="center" wrapText="1"/>
    </xf>
    <xf numFmtId="0" fontId="24" fillId="0" borderId="13" xfId="1082" applyFont="1" applyBorder="1" applyAlignment="1">
      <alignment horizontal="center" vertical="center" wrapText="1"/>
    </xf>
    <xf numFmtId="0" fontId="24" fillId="0" borderId="56" xfId="1082" applyFont="1" applyBorder="1" applyAlignment="1">
      <alignment horizontal="center" vertical="center" wrapText="1"/>
    </xf>
  </cellXfs>
  <cellStyles count="1084">
    <cellStyle name="_x0001_" xfId="1"/>
    <cellStyle name="          _x000d__x000a_shell=progman.exe_x000d__x000a_m" xfId="2"/>
    <cellStyle name="_x000d__x000a_JournalTemplate=C:\COMFO\CTALK\JOURSTD.TPL_x000d__x000a_LbStateAddress=3 3 0 251 1 89 2 311_x000d__x000a_LbStateJou" xfId="3"/>
    <cellStyle name="#,##0" xfId="4"/>
    <cellStyle name="#.##0" xfId="5"/>
    <cellStyle name="." xfId="6"/>
    <cellStyle name=".d©y" xfId="7"/>
    <cellStyle name="??" xfId="8"/>
    <cellStyle name="?? [0.00]_ Att. 1- Cover" xfId="9"/>
    <cellStyle name="?? [0]" xfId="10"/>
    <cellStyle name="?? [0] 2" xfId="11"/>
    <cellStyle name="?? 2" xfId="12"/>
    <cellStyle name="?? 3" xfId="13"/>
    <cellStyle name="?_x001d_??%U©÷u&amp;H©÷9_x0008_? s_x000a__x0007__x0001__x0001_" xfId="14"/>
    <cellStyle name="???? [0.00]_      " xfId="15"/>
    <cellStyle name="??????" xfId="16"/>
    <cellStyle name="????_      " xfId="17"/>
    <cellStyle name="???[0]_?? DI" xfId="18"/>
    <cellStyle name="???_?? DI" xfId="19"/>
    <cellStyle name="??[0]_BRE" xfId="20"/>
    <cellStyle name="??_      " xfId="21"/>
    <cellStyle name="??A? [0]_laroux_1_¢¬???¢â? " xfId="22"/>
    <cellStyle name="??A?_laroux_1_¢¬???¢â? " xfId="23"/>
    <cellStyle name="?¡±¢¥?_?¨ù??¢´¢¥_¢¬???¢â? " xfId="24"/>
    <cellStyle name="?ðÇ%U?&amp;H?_x0008_?s_x000a__x0007__x0001__x0001_" xfId="25"/>
    <cellStyle name="[0]_Chi phÝ kh¸c_V" xfId="26"/>
    <cellStyle name="_1 TONG HOP - CA NA" xfId="27"/>
    <cellStyle name="_123_DONG_THANH_Moi" xfId="28"/>
    <cellStyle name="_Bang Chi tieu (2)" xfId="29"/>
    <cellStyle name="_BAO GIA NGAY 24-10-08 (co dam)" xfId="30"/>
    <cellStyle name="_BC CV 6403 BKHĐT" xfId="31"/>
    <cellStyle name="_Book1" xfId="32"/>
    <cellStyle name="_Book1_1" xfId="33"/>
    <cellStyle name="_Book1_cong hang rao" xfId="34"/>
    <cellStyle name="_Book1_IN" xfId="35"/>
    <cellStyle name="_Book1_Kh ql62 (2010) 11-09" xfId="36"/>
    <cellStyle name="_Book1_Khung 2012" xfId="37"/>
    <cellStyle name="_Book1_phu luc tong ket tinh hinh TH giai doan 03-10 (ngay 30)" xfId="38"/>
    <cellStyle name="_C.cong+B.luong-Sanluong" xfId="39"/>
    <cellStyle name="_cong hang rao" xfId="40"/>
    <cellStyle name="_dien chieu sang" xfId="41"/>
    <cellStyle name="_DO-D1500-KHONG CO TRONG DT" xfId="42"/>
    <cellStyle name="_Duyet TK thay đôi" xfId="43"/>
    <cellStyle name="_GOITHAUSO2" xfId="44"/>
    <cellStyle name="_GOITHAUSO3" xfId="45"/>
    <cellStyle name="_GOITHAUSO4" xfId="46"/>
    <cellStyle name="_HaHoa_TDT_DienCSang" xfId="47"/>
    <cellStyle name="_HaHoa19-5-07" xfId="48"/>
    <cellStyle name="_IN" xfId="49"/>
    <cellStyle name="_Kh ql62 (2010) 11-09" xfId="50"/>
    <cellStyle name="_Khung 2012" xfId="51"/>
    <cellStyle name="_KT (2)" xfId="52"/>
    <cellStyle name="_KT (2)_1" xfId="53"/>
    <cellStyle name="_KT (2)_1_Lora-tungchau" xfId="54"/>
    <cellStyle name="_KT (2)_1_Qt-HT3PQ1(CauKho)" xfId="55"/>
    <cellStyle name="_KT (2)_2" xfId="56"/>
    <cellStyle name="_KT (2)_2_TG-TH" xfId="57"/>
    <cellStyle name="_KT (2)_2_TG-TH_ApGiaVatTu_cayxanh_latgach" xfId="58"/>
    <cellStyle name="_KT (2)_2_TG-TH_BANG TONG HOP TINH HINH THANH QUYET TOAN (MOI I)" xfId="59"/>
    <cellStyle name="_KT (2)_2_TG-TH_BAO GIA NGAY 24-10-08 (co dam)" xfId="60"/>
    <cellStyle name="_KT (2)_2_TG-TH_BC CV 6403 BKHĐT" xfId="61"/>
    <cellStyle name="_KT (2)_2_TG-TH_BC NQ11-CP - chinh sua lai" xfId="62"/>
    <cellStyle name="_KT (2)_2_TG-TH_BC NQ11-CP-Quynh sau bieu so3" xfId="63"/>
    <cellStyle name="_KT (2)_2_TG-TH_BC_NQ11-CP_-_Thao_sua_lai" xfId="64"/>
    <cellStyle name="_KT (2)_2_TG-TH_Book1" xfId="65"/>
    <cellStyle name="_KT (2)_2_TG-TH_Book1_1" xfId="66"/>
    <cellStyle name="_KT (2)_2_TG-TH_Book1_1_BC CV 6403 BKHĐT" xfId="67"/>
    <cellStyle name="_KT (2)_2_TG-TH_Book1_1_Luy ke von ung nam 2011 -Thoa gui ngay 12-8-2012" xfId="68"/>
    <cellStyle name="_KT (2)_2_TG-TH_Book1_2" xfId="69"/>
    <cellStyle name="_KT (2)_2_TG-TH_Book1_2_BC CV 6403 BKHĐT" xfId="70"/>
    <cellStyle name="_KT (2)_2_TG-TH_Book1_2_Luy ke von ung nam 2011 -Thoa gui ngay 12-8-2012" xfId="71"/>
    <cellStyle name="_KT (2)_2_TG-TH_Book1_BC CV 6403 BKHĐT" xfId="72"/>
    <cellStyle name="_KT (2)_2_TG-TH_Book1_Luy ke von ung nam 2011 -Thoa gui ngay 12-8-2012" xfId="73"/>
    <cellStyle name="_KT (2)_2_TG-TH_CAU Khanh Nam(Thi Cong)" xfId="74"/>
    <cellStyle name="_KT (2)_2_TG-TH_ChiHuong_ApGia" xfId="75"/>
    <cellStyle name="_KT (2)_2_TG-TH_CoCauPhi (version 1)" xfId="76"/>
    <cellStyle name="_KT (2)_2_TG-TH_DAU NOI PL-CL TAI PHU LAMHC" xfId="77"/>
    <cellStyle name="_KT (2)_2_TG-TH_DU TRU VAT TU" xfId="78"/>
    <cellStyle name="_KT (2)_2_TG-TH_Lora-tungchau" xfId="79"/>
    <cellStyle name="_KT (2)_2_TG-TH_Luy ke von ung nam 2011 -Thoa gui ngay 12-8-2012" xfId="80"/>
    <cellStyle name="_KT (2)_2_TG-TH_NhanCong" xfId="81"/>
    <cellStyle name="_KT (2)_2_TG-TH_phu luc tong ket tinh hinh TH giai doan 03-10 (ngay 30)" xfId="82"/>
    <cellStyle name="_KT (2)_2_TG-TH_Qt-HT3PQ1(CauKho)" xfId="83"/>
    <cellStyle name="_KT (2)_2_TG-TH_Sheet1" xfId="84"/>
    <cellStyle name="_KT (2)_2_TG-TH_ÿÿÿÿÿ" xfId="85"/>
    <cellStyle name="_KT (2)_3" xfId="86"/>
    <cellStyle name="_KT (2)_3_TG-TH" xfId="87"/>
    <cellStyle name="_KT (2)_3_TG-TH_Lora-tungchau" xfId="88"/>
    <cellStyle name="_KT (2)_3_TG-TH_PERSONAL" xfId="89"/>
    <cellStyle name="_KT (2)_3_TG-TH_PERSONAL_BC CV 6403 BKHĐT" xfId="90"/>
    <cellStyle name="_KT (2)_3_TG-TH_PERSONAL_Book1" xfId="91"/>
    <cellStyle name="_KT (2)_3_TG-TH_PERSONAL_Luy ke von ung nam 2011 -Thoa gui ngay 12-8-2012" xfId="92"/>
    <cellStyle name="_KT (2)_3_TG-TH_PERSONAL_Tong hop KHCB 2001" xfId="93"/>
    <cellStyle name="_KT (2)_3_TG-TH_Qt-HT3PQ1(CauKho)" xfId="94"/>
    <cellStyle name="_KT (2)_4" xfId="95"/>
    <cellStyle name="_KT (2)_4_ApGiaVatTu_cayxanh_latgach" xfId="96"/>
    <cellStyle name="_KT (2)_4_BANG TONG HOP TINH HINH THANH QUYET TOAN (MOI I)" xfId="97"/>
    <cellStyle name="_KT (2)_4_BAO GIA NGAY 24-10-08 (co dam)" xfId="98"/>
    <cellStyle name="_KT (2)_4_BC CV 6403 BKHĐT" xfId="99"/>
    <cellStyle name="_KT (2)_4_BC NQ11-CP - chinh sua lai" xfId="100"/>
    <cellStyle name="_KT (2)_4_BC NQ11-CP-Quynh sau bieu so3" xfId="101"/>
    <cellStyle name="_KT (2)_4_BC_NQ11-CP_-_Thao_sua_lai" xfId="102"/>
    <cellStyle name="_KT (2)_4_Book1" xfId="103"/>
    <cellStyle name="_KT (2)_4_Book1_1" xfId="104"/>
    <cellStyle name="_KT (2)_4_Book1_1_BC CV 6403 BKHĐT" xfId="105"/>
    <cellStyle name="_KT (2)_4_Book1_1_Luy ke von ung nam 2011 -Thoa gui ngay 12-8-2012" xfId="106"/>
    <cellStyle name="_KT (2)_4_Book1_2" xfId="107"/>
    <cellStyle name="_KT (2)_4_Book1_2_BC CV 6403 BKHĐT" xfId="108"/>
    <cellStyle name="_KT (2)_4_Book1_2_Luy ke von ung nam 2011 -Thoa gui ngay 12-8-2012" xfId="109"/>
    <cellStyle name="_KT (2)_4_Book1_BC CV 6403 BKHĐT" xfId="110"/>
    <cellStyle name="_KT (2)_4_Book1_Luy ke von ung nam 2011 -Thoa gui ngay 12-8-2012" xfId="111"/>
    <cellStyle name="_KT (2)_4_CAU Khanh Nam(Thi Cong)" xfId="112"/>
    <cellStyle name="_KT (2)_4_ChiHuong_ApGia" xfId="113"/>
    <cellStyle name="_KT (2)_4_CoCauPhi (version 1)" xfId="114"/>
    <cellStyle name="_KT (2)_4_DAU NOI PL-CL TAI PHU LAMHC" xfId="115"/>
    <cellStyle name="_KT (2)_4_DU TRU VAT TU" xfId="116"/>
    <cellStyle name="_KT (2)_4_Lora-tungchau" xfId="117"/>
    <cellStyle name="_KT (2)_4_Luy ke von ung nam 2011 -Thoa gui ngay 12-8-2012" xfId="118"/>
    <cellStyle name="_KT (2)_4_NhanCong" xfId="119"/>
    <cellStyle name="_KT (2)_4_phu luc tong ket tinh hinh TH giai doan 03-10 (ngay 30)" xfId="120"/>
    <cellStyle name="_KT (2)_4_Qt-HT3PQ1(CauKho)" xfId="121"/>
    <cellStyle name="_KT (2)_4_Sheet1" xfId="122"/>
    <cellStyle name="_KT (2)_4_TG-TH" xfId="123"/>
    <cellStyle name="_KT (2)_4_ÿÿÿÿÿ" xfId="124"/>
    <cellStyle name="_KT (2)_5" xfId="125"/>
    <cellStyle name="_KT (2)_5_ApGiaVatTu_cayxanh_latgach" xfId="126"/>
    <cellStyle name="_KT (2)_5_BANG TONG HOP TINH HINH THANH QUYET TOAN (MOI I)" xfId="127"/>
    <cellStyle name="_KT (2)_5_BAO GIA NGAY 24-10-08 (co dam)" xfId="128"/>
    <cellStyle name="_KT (2)_5_BC CV 6403 BKHĐT" xfId="129"/>
    <cellStyle name="_KT (2)_5_BC NQ11-CP - chinh sua lai" xfId="130"/>
    <cellStyle name="_KT (2)_5_BC NQ11-CP-Quynh sau bieu so3" xfId="131"/>
    <cellStyle name="_KT (2)_5_BC_NQ11-CP_-_Thao_sua_lai" xfId="132"/>
    <cellStyle name="_KT (2)_5_Book1" xfId="133"/>
    <cellStyle name="_KT (2)_5_Book1_1" xfId="134"/>
    <cellStyle name="_KT (2)_5_Book1_1_BC CV 6403 BKHĐT" xfId="135"/>
    <cellStyle name="_KT (2)_5_Book1_1_Luy ke von ung nam 2011 -Thoa gui ngay 12-8-2012" xfId="136"/>
    <cellStyle name="_KT (2)_5_Book1_2" xfId="137"/>
    <cellStyle name="_KT (2)_5_Book1_2_BC CV 6403 BKHĐT" xfId="138"/>
    <cellStyle name="_KT (2)_5_Book1_2_Luy ke von ung nam 2011 -Thoa gui ngay 12-8-2012" xfId="139"/>
    <cellStyle name="_KT (2)_5_Book1_BC CV 6403 BKHĐT" xfId="140"/>
    <cellStyle name="_KT (2)_5_Book1_Luy ke von ung nam 2011 -Thoa gui ngay 12-8-2012" xfId="141"/>
    <cellStyle name="_KT (2)_5_CAU Khanh Nam(Thi Cong)" xfId="142"/>
    <cellStyle name="_KT (2)_5_ChiHuong_ApGia" xfId="143"/>
    <cellStyle name="_KT (2)_5_CoCauPhi (version 1)" xfId="144"/>
    <cellStyle name="_KT (2)_5_DAU NOI PL-CL TAI PHU LAMHC" xfId="145"/>
    <cellStyle name="_KT (2)_5_DU TRU VAT TU" xfId="146"/>
    <cellStyle name="_KT (2)_5_Lora-tungchau" xfId="147"/>
    <cellStyle name="_KT (2)_5_Luy ke von ung nam 2011 -Thoa gui ngay 12-8-2012" xfId="148"/>
    <cellStyle name="_KT (2)_5_NhanCong" xfId="149"/>
    <cellStyle name="_KT (2)_5_phu luc tong ket tinh hinh TH giai doan 03-10 (ngay 30)" xfId="150"/>
    <cellStyle name="_KT (2)_5_Qt-HT3PQ1(CauKho)" xfId="151"/>
    <cellStyle name="_KT (2)_5_Sheet1" xfId="152"/>
    <cellStyle name="_KT (2)_5_ÿÿÿÿÿ" xfId="153"/>
    <cellStyle name="_KT (2)_Lora-tungchau" xfId="154"/>
    <cellStyle name="_KT (2)_PERSONAL" xfId="155"/>
    <cellStyle name="_KT (2)_PERSONAL_BC CV 6403 BKHĐT" xfId="156"/>
    <cellStyle name="_KT (2)_PERSONAL_Book1" xfId="157"/>
    <cellStyle name="_KT (2)_PERSONAL_Luy ke von ung nam 2011 -Thoa gui ngay 12-8-2012" xfId="158"/>
    <cellStyle name="_KT (2)_PERSONAL_Tong hop KHCB 2001" xfId="159"/>
    <cellStyle name="_KT (2)_Qt-HT3PQ1(CauKho)" xfId="160"/>
    <cellStyle name="_KT (2)_TG-TH" xfId="161"/>
    <cellStyle name="_KT_TG" xfId="162"/>
    <cellStyle name="_KT_TG_1" xfId="163"/>
    <cellStyle name="_KT_TG_1_ApGiaVatTu_cayxanh_latgach" xfId="164"/>
    <cellStyle name="_KT_TG_1_BANG TONG HOP TINH HINH THANH QUYET TOAN (MOI I)" xfId="165"/>
    <cellStyle name="_KT_TG_1_BAO GIA NGAY 24-10-08 (co dam)" xfId="166"/>
    <cellStyle name="_KT_TG_1_BC CV 6403 BKHĐT" xfId="167"/>
    <cellStyle name="_KT_TG_1_BC NQ11-CP - chinh sua lai" xfId="168"/>
    <cellStyle name="_KT_TG_1_BC NQ11-CP-Quynh sau bieu so3" xfId="169"/>
    <cellStyle name="_KT_TG_1_BC_NQ11-CP_-_Thao_sua_lai" xfId="170"/>
    <cellStyle name="_KT_TG_1_Book1" xfId="171"/>
    <cellStyle name="_KT_TG_1_Book1_1" xfId="172"/>
    <cellStyle name="_KT_TG_1_Book1_1_BC CV 6403 BKHĐT" xfId="173"/>
    <cellStyle name="_KT_TG_1_Book1_1_Luy ke von ung nam 2011 -Thoa gui ngay 12-8-2012" xfId="174"/>
    <cellStyle name="_KT_TG_1_Book1_2" xfId="175"/>
    <cellStyle name="_KT_TG_1_Book1_2_BC CV 6403 BKHĐT" xfId="176"/>
    <cellStyle name="_KT_TG_1_Book1_2_Luy ke von ung nam 2011 -Thoa gui ngay 12-8-2012" xfId="177"/>
    <cellStyle name="_KT_TG_1_Book1_BC CV 6403 BKHĐT" xfId="178"/>
    <cellStyle name="_KT_TG_1_Book1_Luy ke von ung nam 2011 -Thoa gui ngay 12-8-2012" xfId="179"/>
    <cellStyle name="_KT_TG_1_CAU Khanh Nam(Thi Cong)" xfId="180"/>
    <cellStyle name="_KT_TG_1_ChiHuong_ApGia" xfId="181"/>
    <cellStyle name="_KT_TG_1_CoCauPhi (version 1)" xfId="182"/>
    <cellStyle name="_KT_TG_1_DAU NOI PL-CL TAI PHU LAMHC" xfId="183"/>
    <cellStyle name="_KT_TG_1_DU TRU VAT TU" xfId="184"/>
    <cellStyle name="_KT_TG_1_Lora-tungchau" xfId="185"/>
    <cellStyle name="_KT_TG_1_Luy ke von ung nam 2011 -Thoa gui ngay 12-8-2012" xfId="186"/>
    <cellStyle name="_KT_TG_1_NhanCong" xfId="187"/>
    <cellStyle name="_KT_TG_1_phu luc tong ket tinh hinh TH giai doan 03-10 (ngay 30)" xfId="188"/>
    <cellStyle name="_KT_TG_1_Qt-HT3PQ1(CauKho)" xfId="189"/>
    <cellStyle name="_KT_TG_1_Sheet1" xfId="190"/>
    <cellStyle name="_KT_TG_1_ÿÿÿÿÿ" xfId="191"/>
    <cellStyle name="_KT_TG_2" xfId="192"/>
    <cellStyle name="_KT_TG_2_ApGiaVatTu_cayxanh_latgach" xfId="193"/>
    <cellStyle name="_KT_TG_2_BANG TONG HOP TINH HINH THANH QUYET TOAN (MOI I)" xfId="194"/>
    <cellStyle name="_KT_TG_2_BAO GIA NGAY 24-10-08 (co dam)" xfId="195"/>
    <cellStyle name="_KT_TG_2_BC CV 6403 BKHĐT" xfId="196"/>
    <cellStyle name="_KT_TG_2_BC NQ11-CP - chinh sua lai" xfId="197"/>
    <cellStyle name="_KT_TG_2_BC NQ11-CP-Quynh sau bieu so3" xfId="198"/>
    <cellStyle name="_KT_TG_2_BC_NQ11-CP_-_Thao_sua_lai" xfId="199"/>
    <cellStyle name="_KT_TG_2_Book1" xfId="200"/>
    <cellStyle name="_KT_TG_2_Book1_1" xfId="201"/>
    <cellStyle name="_KT_TG_2_Book1_1_BC CV 6403 BKHĐT" xfId="202"/>
    <cellStyle name="_KT_TG_2_Book1_1_Luy ke von ung nam 2011 -Thoa gui ngay 12-8-2012" xfId="203"/>
    <cellStyle name="_KT_TG_2_Book1_2" xfId="204"/>
    <cellStyle name="_KT_TG_2_Book1_2_BC CV 6403 BKHĐT" xfId="205"/>
    <cellStyle name="_KT_TG_2_Book1_2_Luy ke von ung nam 2011 -Thoa gui ngay 12-8-2012" xfId="206"/>
    <cellStyle name="_KT_TG_2_Book1_BC CV 6403 BKHĐT" xfId="207"/>
    <cellStyle name="_KT_TG_2_Book1_Luy ke von ung nam 2011 -Thoa gui ngay 12-8-2012" xfId="208"/>
    <cellStyle name="_KT_TG_2_CAU Khanh Nam(Thi Cong)" xfId="209"/>
    <cellStyle name="_KT_TG_2_ChiHuong_ApGia" xfId="210"/>
    <cellStyle name="_KT_TG_2_CoCauPhi (version 1)" xfId="211"/>
    <cellStyle name="_KT_TG_2_DAU NOI PL-CL TAI PHU LAMHC" xfId="212"/>
    <cellStyle name="_KT_TG_2_DU TRU VAT TU" xfId="213"/>
    <cellStyle name="_KT_TG_2_Lora-tungchau" xfId="214"/>
    <cellStyle name="_KT_TG_2_Luy ke von ung nam 2011 -Thoa gui ngay 12-8-2012" xfId="215"/>
    <cellStyle name="_KT_TG_2_NhanCong" xfId="216"/>
    <cellStyle name="_KT_TG_2_phu luc tong ket tinh hinh TH giai doan 03-10 (ngay 30)" xfId="217"/>
    <cellStyle name="_KT_TG_2_Qt-HT3PQ1(CauKho)" xfId="218"/>
    <cellStyle name="_KT_TG_2_Sheet1" xfId="219"/>
    <cellStyle name="_KT_TG_2_ÿÿÿÿÿ" xfId="220"/>
    <cellStyle name="_KT_TG_3" xfId="221"/>
    <cellStyle name="_KT_TG_4" xfId="222"/>
    <cellStyle name="_KT_TG_4_Lora-tungchau" xfId="223"/>
    <cellStyle name="_KT_TG_4_Qt-HT3PQ1(CauKho)" xfId="224"/>
    <cellStyle name="_Lora-tungchau" xfId="225"/>
    <cellStyle name="_Luy ke von ung nam 2011 -Thoa gui ngay 12-8-2012" xfId="226"/>
    <cellStyle name="_mau so 3" xfId="227"/>
    <cellStyle name="_MauThanTKKT-goi7-DonGia2143(vl t7)" xfId="228"/>
    <cellStyle name="_Nhu cau von ung truoc 2011 Tha h Hoa + Nge An gui TW" xfId="229"/>
    <cellStyle name="_PERSONAL" xfId="230"/>
    <cellStyle name="_PERSONAL_BC CV 6403 BKHĐT" xfId="231"/>
    <cellStyle name="_PERSONAL_Book1" xfId="232"/>
    <cellStyle name="_PERSONAL_Luy ke von ung nam 2011 -Thoa gui ngay 12-8-2012" xfId="233"/>
    <cellStyle name="_PERSONAL_Tong hop KHCB 2001" xfId="234"/>
    <cellStyle name="_phong bo mon22" xfId="235"/>
    <cellStyle name="_phu luc tong ket tinh hinh TH giai doan 03-10 (ngay 30)" xfId="236"/>
    <cellStyle name="_Q TOAN  SCTX QL.62 QUI I ( oanh)" xfId="237"/>
    <cellStyle name="_Q TOAN  SCTX QL.62 QUI II ( oanh)" xfId="238"/>
    <cellStyle name="_QT SCTXQL62_QT1 (Cty QL)" xfId="239"/>
    <cellStyle name="_Qt-HT3PQ1(CauKho)" xfId="240"/>
    <cellStyle name="_Sheet1" xfId="241"/>
    <cellStyle name="_Sheet2" xfId="242"/>
    <cellStyle name="_TG-TH" xfId="243"/>
    <cellStyle name="_TG-TH_1" xfId="244"/>
    <cellStyle name="_TG-TH_1_ApGiaVatTu_cayxanh_latgach" xfId="245"/>
    <cellStyle name="_TG-TH_1_BANG TONG HOP TINH HINH THANH QUYET TOAN (MOI I)" xfId="246"/>
    <cellStyle name="_TG-TH_1_BAO GIA NGAY 24-10-08 (co dam)" xfId="247"/>
    <cellStyle name="_TG-TH_1_BC CV 6403 BKHĐT" xfId="248"/>
    <cellStyle name="_TG-TH_1_BC NQ11-CP - chinh sua lai" xfId="249"/>
    <cellStyle name="_TG-TH_1_BC NQ11-CP-Quynh sau bieu so3" xfId="250"/>
    <cellStyle name="_TG-TH_1_BC_NQ11-CP_-_Thao_sua_lai" xfId="251"/>
    <cellStyle name="_TG-TH_1_Book1" xfId="252"/>
    <cellStyle name="_TG-TH_1_Book1_1" xfId="253"/>
    <cellStyle name="_TG-TH_1_Book1_1_BC CV 6403 BKHĐT" xfId="254"/>
    <cellStyle name="_TG-TH_1_Book1_1_Luy ke von ung nam 2011 -Thoa gui ngay 12-8-2012" xfId="255"/>
    <cellStyle name="_TG-TH_1_Book1_2" xfId="256"/>
    <cellStyle name="_TG-TH_1_Book1_2_BC CV 6403 BKHĐT" xfId="257"/>
    <cellStyle name="_TG-TH_1_Book1_2_Luy ke von ung nam 2011 -Thoa gui ngay 12-8-2012" xfId="258"/>
    <cellStyle name="_TG-TH_1_Book1_BC CV 6403 BKHĐT" xfId="259"/>
    <cellStyle name="_TG-TH_1_Book1_Luy ke von ung nam 2011 -Thoa gui ngay 12-8-2012" xfId="260"/>
    <cellStyle name="_TG-TH_1_CAU Khanh Nam(Thi Cong)" xfId="261"/>
    <cellStyle name="_TG-TH_1_ChiHuong_ApGia" xfId="262"/>
    <cellStyle name="_TG-TH_1_CoCauPhi (version 1)" xfId="263"/>
    <cellStyle name="_TG-TH_1_DAU NOI PL-CL TAI PHU LAMHC" xfId="264"/>
    <cellStyle name="_TG-TH_1_DU TRU VAT TU" xfId="265"/>
    <cellStyle name="_TG-TH_1_Lora-tungchau" xfId="266"/>
    <cellStyle name="_TG-TH_1_Luy ke von ung nam 2011 -Thoa gui ngay 12-8-2012" xfId="267"/>
    <cellStyle name="_TG-TH_1_NhanCong" xfId="268"/>
    <cellStyle name="_TG-TH_1_phu luc tong ket tinh hinh TH giai doan 03-10 (ngay 30)" xfId="269"/>
    <cellStyle name="_TG-TH_1_Qt-HT3PQ1(CauKho)" xfId="270"/>
    <cellStyle name="_TG-TH_1_Sheet1" xfId="271"/>
    <cellStyle name="_TG-TH_1_ÿÿÿÿÿ" xfId="272"/>
    <cellStyle name="_TG-TH_2" xfId="273"/>
    <cellStyle name="_TG-TH_2_ApGiaVatTu_cayxanh_latgach" xfId="274"/>
    <cellStyle name="_TG-TH_2_BANG TONG HOP TINH HINH THANH QUYET TOAN (MOI I)" xfId="275"/>
    <cellStyle name="_TG-TH_2_BAO GIA NGAY 24-10-08 (co dam)" xfId="276"/>
    <cellStyle name="_TG-TH_2_BC CV 6403 BKHĐT" xfId="277"/>
    <cellStyle name="_TG-TH_2_BC NQ11-CP - chinh sua lai" xfId="278"/>
    <cellStyle name="_TG-TH_2_BC NQ11-CP-Quynh sau bieu so3" xfId="279"/>
    <cellStyle name="_TG-TH_2_BC_NQ11-CP_-_Thao_sua_lai" xfId="280"/>
    <cellStyle name="_TG-TH_2_Book1" xfId="281"/>
    <cellStyle name="_TG-TH_2_Book1_1" xfId="282"/>
    <cellStyle name="_TG-TH_2_Book1_1_BC CV 6403 BKHĐT" xfId="283"/>
    <cellStyle name="_TG-TH_2_Book1_1_Luy ke von ung nam 2011 -Thoa gui ngay 12-8-2012" xfId="284"/>
    <cellStyle name="_TG-TH_2_Book1_2" xfId="285"/>
    <cellStyle name="_TG-TH_2_Book1_2_BC CV 6403 BKHĐT" xfId="286"/>
    <cellStyle name="_TG-TH_2_Book1_2_Luy ke von ung nam 2011 -Thoa gui ngay 12-8-2012" xfId="287"/>
    <cellStyle name="_TG-TH_2_Book1_BC CV 6403 BKHĐT" xfId="288"/>
    <cellStyle name="_TG-TH_2_Book1_Luy ke von ung nam 2011 -Thoa gui ngay 12-8-2012" xfId="289"/>
    <cellStyle name="_TG-TH_2_CAU Khanh Nam(Thi Cong)" xfId="290"/>
    <cellStyle name="_TG-TH_2_ChiHuong_ApGia" xfId="291"/>
    <cellStyle name="_TG-TH_2_CoCauPhi (version 1)" xfId="292"/>
    <cellStyle name="_TG-TH_2_DAU NOI PL-CL TAI PHU LAMHC" xfId="293"/>
    <cellStyle name="_TG-TH_2_DU TRU VAT TU" xfId="294"/>
    <cellStyle name="_TG-TH_2_Lora-tungchau" xfId="295"/>
    <cellStyle name="_TG-TH_2_Luy ke von ung nam 2011 -Thoa gui ngay 12-8-2012" xfId="296"/>
    <cellStyle name="_TG-TH_2_NhanCong" xfId="297"/>
    <cellStyle name="_TG-TH_2_phu luc tong ket tinh hinh TH giai doan 03-10 (ngay 30)" xfId="298"/>
    <cellStyle name="_TG-TH_2_Qt-HT3PQ1(CauKho)" xfId="299"/>
    <cellStyle name="_TG-TH_2_Sheet1" xfId="300"/>
    <cellStyle name="_TG-TH_2_ÿÿÿÿÿ" xfId="301"/>
    <cellStyle name="_TG-TH_3" xfId="302"/>
    <cellStyle name="_TG-TH_3_Lora-tungchau" xfId="303"/>
    <cellStyle name="_TG-TH_3_Qt-HT3PQ1(CauKho)" xfId="304"/>
    <cellStyle name="_TG-TH_4" xfId="305"/>
    <cellStyle name="_Tong dutoan PP LAHAI" xfId="306"/>
    <cellStyle name="_TPCP GT-24-5-Mien Nui" xfId="307"/>
    <cellStyle name="_ung truoc 2011 NSTW Thanh Hoa + Nge An gui Thu 12-5" xfId="308"/>
    <cellStyle name="_ung truoc cua long an (6-5-2010)" xfId="309"/>
    <cellStyle name="_Ung von nam 2011 vung TNB - Doan Cong tac (12-5-2010)" xfId="310"/>
    <cellStyle name="_Ung von nam 2011 vung TNB - Doan Cong tac (12-5-2010)_Cong trinh co y kien LD_Dang_NN_2011-Tay nguyen-9-10" xfId="311"/>
    <cellStyle name="_Ung von nam 2011 vung TNB - Doan Cong tac (12-5-2010)_TN - Ho tro khac 2011" xfId="312"/>
    <cellStyle name="_ÿÿÿÿÿ" xfId="313"/>
    <cellStyle name="_ÿÿÿÿÿ_Kh ql62 (2010) 11-09" xfId="314"/>
    <cellStyle name="_ÿÿÿÿÿ_Khung 2012" xfId="315"/>
    <cellStyle name="~1" xfId="316"/>
    <cellStyle name="’Ê‰Ý [0.00]_laroux" xfId="317"/>
    <cellStyle name="’Ê‰Ý_laroux" xfId="318"/>
    <cellStyle name="•W?_Format" xfId="319"/>
    <cellStyle name="•W€_’·Šú‰p•¶" xfId="320"/>
    <cellStyle name="•W_¯–ì" xfId="321"/>
    <cellStyle name="W_MARINE" xfId="322"/>
    <cellStyle name="0" xfId="323"/>
    <cellStyle name="0,0_x000d__x000a_NA_x000d__x000a_" xfId="324"/>
    <cellStyle name="0.0" xfId="325"/>
    <cellStyle name="0.00" xfId="326"/>
    <cellStyle name="1" xfId="327"/>
    <cellStyle name="1 2" xfId="328"/>
    <cellStyle name="1_BAO GIA NGAY 24-10-08 (co dam)" xfId="329"/>
    <cellStyle name="1_Book1" xfId="330"/>
    <cellStyle name="1_Book1_1" xfId="331"/>
    <cellStyle name="1_Cau thuy dien Ban La (Cu Anh)" xfId="332"/>
    <cellStyle name="1_Cong trinh co y kien LD_Dang_NN_2011-Tay nguyen-9-10" xfId="333"/>
    <cellStyle name="1_Du toan 558 (Km17+508.12 - Km 22)" xfId="334"/>
    <cellStyle name="1_Gia_VLQL48_duyet " xfId="335"/>
    <cellStyle name="1_Kh ql62 (2010) 11-09" xfId="336"/>
    <cellStyle name="1_Khung 2012" xfId="337"/>
    <cellStyle name="1_KlQdinhduyet" xfId="338"/>
    <cellStyle name="1_TN - Ho tro khac 2011" xfId="339"/>
    <cellStyle name="1_TRUNG PMU 5" xfId="340"/>
    <cellStyle name="1_ÿÿÿÿÿ" xfId="341"/>
    <cellStyle name="1_ÿÿÿÿÿ_Bieu tong hop nhu cau ung 2011 da chon loc -Mien nui" xfId="342"/>
    <cellStyle name="1_ÿÿÿÿÿ_Kh ql62 (2010) 11-09" xfId="343"/>
    <cellStyle name="1_ÿÿÿÿÿ_Khung 2012" xfId="344"/>
    <cellStyle name="18" xfId="345"/>
    <cellStyle name="¹éºÐÀ²_      " xfId="346"/>
    <cellStyle name="2" xfId="347"/>
    <cellStyle name="2_Book1" xfId="348"/>
    <cellStyle name="2_Book1_1" xfId="349"/>
    <cellStyle name="2_Cau thuy dien Ban La (Cu Anh)" xfId="350"/>
    <cellStyle name="2_Du toan 558 (Km17+508.12 - Km 22)" xfId="351"/>
    <cellStyle name="2_Gia_VLQL48_duyet " xfId="352"/>
    <cellStyle name="2_KlQdinhduyet" xfId="353"/>
    <cellStyle name="2_TRUNG PMU 5" xfId="354"/>
    <cellStyle name="2_ÿÿÿÿÿ" xfId="355"/>
    <cellStyle name="2_ÿÿÿÿÿ_Bieu tong hop nhu cau ung 2011 da chon loc -Mien nui" xfId="356"/>
    <cellStyle name="20% - Accent1 2" xfId="357"/>
    <cellStyle name="20% - Accent2 2" xfId="358"/>
    <cellStyle name="20% - Accent3 2" xfId="359"/>
    <cellStyle name="20% - Accent4 2" xfId="360"/>
    <cellStyle name="20% - Accent5 2" xfId="361"/>
    <cellStyle name="20% - Accent6 2" xfId="362"/>
    <cellStyle name="-2001" xfId="363"/>
    <cellStyle name="3" xfId="364"/>
    <cellStyle name="3_Book1" xfId="365"/>
    <cellStyle name="3_Book1_1" xfId="366"/>
    <cellStyle name="3_Cau thuy dien Ban La (Cu Anh)" xfId="367"/>
    <cellStyle name="3_Du toan 558 (Km17+508.12 - Km 22)" xfId="368"/>
    <cellStyle name="3_Gia_VLQL48_duyet " xfId="369"/>
    <cellStyle name="3_KlQdinhduyet" xfId="370"/>
    <cellStyle name="3_ÿÿÿÿÿ" xfId="371"/>
    <cellStyle name="4" xfId="372"/>
    <cellStyle name="4_Book1" xfId="373"/>
    <cellStyle name="4_Book1_1" xfId="374"/>
    <cellStyle name="4_Cau thuy dien Ban La (Cu Anh)" xfId="375"/>
    <cellStyle name="4_Du toan 558 (Km17+508.12 - Km 22)" xfId="376"/>
    <cellStyle name="4_Gia_VLQL48_duyet " xfId="377"/>
    <cellStyle name="4_KlQdinhduyet" xfId="378"/>
    <cellStyle name="4_ÿÿÿÿÿ" xfId="379"/>
    <cellStyle name="40% - Accent1 2" xfId="380"/>
    <cellStyle name="40% - Accent2 2" xfId="381"/>
    <cellStyle name="40% - Accent3 2" xfId="382"/>
    <cellStyle name="40% - Accent4 2" xfId="383"/>
    <cellStyle name="40% - Accent5 2" xfId="384"/>
    <cellStyle name="40% - Accent6 2" xfId="385"/>
    <cellStyle name="52" xfId="386"/>
    <cellStyle name="6" xfId="387"/>
    <cellStyle name="6_Cong trinh co y kien LD_Dang_NN_2011-Tay nguyen-9-10" xfId="388"/>
    <cellStyle name="6_TN - Ho tro khac 2011" xfId="389"/>
    <cellStyle name="60% - Accent1 2" xfId="390"/>
    <cellStyle name="60% - Accent2 2" xfId="391"/>
    <cellStyle name="60% - Accent3 2" xfId="392"/>
    <cellStyle name="60% - Accent4 2" xfId="393"/>
    <cellStyle name="60% - Accent5 2" xfId="394"/>
    <cellStyle name="60% - Accent6 2" xfId="395"/>
    <cellStyle name="9" xfId="396"/>
    <cellStyle name="Accent1 2" xfId="397"/>
    <cellStyle name="Accent2 2" xfId="398"/>
    <cellStyle name="Accent3 2" xfId="399"/>
    <cellStyle name="Accent4 2" xfId="400"/>
    <cellStyle name="Accent5 2" xfId="401"/>
    <cellStyle name="Accent6 2" xfId="402"/>
    <cellStyle name="ÅëÈ­ [0]_      " xfId="403"/>
    <cellStyle name="AeE­ [0]_INQUIRY ¿?¾÷AßAø " xfId="404"/>
    <cellStyle name="ÅëÈ­ [0]_L601CPT" xfId="405"/>
    <cellStyle name="ÅëÈ­_      " xfId="406"/>
    <cellStyle name="AeE­_INQUIRY ¿?¾÷AßAø " xfId="407"/>
    <cellStyle name="ÅëÈ­_L601CPT" xfId="408"/>
    <cellStyle name="args.style" xfId="409"/>
    <cellStyle name="at" xfId="410"/>
    <cellStyle name="ÄÞ¸¶ [0]_      " xfId="411"/>
    <cellStyle name="AÞ¸¶ [0]_INQUIRY ¿?¾÷AßAø " xfId="412"/>
    <cellStyle name="ÄÞ¸¶ [0]_L601CPT" xfId="413"/>
    <cellStyle name="ÄÞ¸¶_      " xfId="414"/>
    <cellStyle name="AÞ¸¶_INQUIRY ¿?¾÷AßAø " xfId="415"/>
    <cellStyle name="ÄÞ¸¶_L601CPT" xfId="416"/>
    <cellStyle name="AutoFormat Options" xfId="417"/>
    <cellStyle name="Bad" xfId="418" builtinId="27"/>
    <cellStyle name="Bad 2" xfId="419"/>
    <cellStyle name="Body" xfId="420"/>
    <cellStyle name="C?AØ_¿?¾÷CoE² " xfId="421"/>
    <cellStyle name="C~1" xfId="422"/>
    <cellStyle name="Ç¥ÁØ_      " xfId="423"/>
    <cellStyle name="C￥AØ_¿μ¾÷CoE² " xfId="424"/>
    <cellStyle name="Ç¥ÁØ_±¸¹Ì´ëÃ¥" xfId="425"/>
    <cellStyle name="C￥AØ_Sheet1_¿μ¾÷CoE² " xfId="426"/>
    <cellStyle name="Ç¥ÁØ_ÿÿÿÿÿÿ_4_ÃÑÇÕ°è " xfId="427"/>
    <cellStyle name="Calc Currency (0)" xfId="428"/>
    <cellStyle name="Calc Currency (2)" xfId="429"/>
    <cellStyle name="Calc Percent (0)" xfId="430"/>
    <cellStyle name="Calc Percent (1)" xfId="431"/>
    <cellStyle name="Calc Percent (2)" xfId="432"/>
    <cellStyle name="Calc Units (0)" xfId="433"/>
    <cellStyle name="Calc Units (1)" xfId="434"/>
    <cellStyle name="Calc Units (2)" xfId="435"/>
    <cellStyle name="Calculation 2" xfId="436"/>
    <cellStyle name="category" xfId="437"/>
    <cellStyle name="Cerrency_Sheet2_XANGDAU" xfId="438"/>
    <cellStyle name="Check Cell 2" xfId="439"/>
    <cellStyle name="Chi phÝ kh¸c_Book1" xfId="440"/>
    <cellStyle name="CHUONG" xfId="441"/>
    <cellStyle name="Comma" xfId="442" builtinId="3"/>
    <cellStyle name="Comma  - Style1" xfId="443"/>
    <cellStyle name="Comma  - Style2" xfId="444"/>
    <cellStyle name="Comma  - Style3" xfId="445"/>
    <cellStyle name="Comma  - Style4" xfId="446"/>
    <cellStyle name="Comma  - Style5" xfId="447"/>
    <cellStyle name="Comma  - Style6" xfId="448"/>
    <cellStyle name="Comma  - Style7" xfId="449"/>
    <cellStyle name="Comma  - Style8" xfId="450"/>
    <cellStyle name="Comma [0] 2" xfId="451"/>
    <cellStyle name="Comma [0] 3" xfId="452"/>
    <cellStyle name="Comma [0] 4" xfId="453"/>
    <cellStyle name="Comma [00]" xfId="454"/>
    <cellStyle name="Comma 10" xfId="455"/>
    <cellStyle name="Comma 10 2" xfId="456"/>
    <cellStyle name="Comma 11" xfId="457"/>
    <cellStyle name="Comma 11 2" xfId="458"/>
    <cellStyle name="Comma 12" xfId="459"/>
    <cellStyle name="Comma 12 2" xfId="460"/>
    <cellStyle name="Comma 13" xfId="461"/>
    <cellStyle name="Comma 13 2" xfId="462"/>
    <cellStyle name="Comma 13 2 2 2" xfId="463"/>
    <cellStyle name="Comma 14" xfId="464"/>
    <cellStyle name="Comma 14 2" xfId="465"/>
    <cellStyle name="Comma 15" xfId="466"/>
    <cellStyle name="Comma 16" xfId="467"/>
    <cellStyle name="Comma 17" xfId="468"/>
    <cellStyle name="Comma 18" xfId="469"/>
    <cellStyle name="Comma 19" xfId="470"/>
    <cellStyle name="Comma 2" xfId="471"/>
    <cellStyle name="Comma 2 2" xfId="472"/>
    <cellStyle name="Comma 2 2 2" xfId="473"/>
    <cellStyle name="Comma 2 3" xfId="474"/>
    <cellStyle name="Comma 2 4" xfId="1080"/>
    <cellStyle name="Comma 2_Copy of Bieu mau 2012_8-11-2011_Gui CHi Le" xfId="475"/>
    <cellStyle name="Comma 20" xfId="476"/>
    <cellStyle name="Comma 21" xfId="477"/>
    <cellStyle name="Comma 22" xfId="478"/>
    <cellStyle name="Comma 23" xfId="479"/>
    <cellStyle name="Comma 24" xfId="480"/>
    <cellStyle name="Comma 25" xfId="481"/>
    <cellStyle name="Comma 26" xfId="482"/>
    <cellStyle name="Comma 27" xfId="483"/>
    <cellStyle name="Comma 28" xfId="484"/>
    <cellStyle name="Comma 29" xfId="1079"/>
    <cellStyle name="Comma 29 3" xfId="1083"/>
    <cellStyle name="Comma 3" xfId="485"/>
    <cellStyle name="Comma 3 2" xfId="486"/>
    <cellStyle name="Comma 3 2 2" xfId="487"/>
    <cellStyle name="Comma 3 3" xfId="488"/>
    <cellStyle name="Comma 3 4" xfId="489"/>
    <cellStyle name="Comma 3 5" xfId="1081"/>
    <cellStyle name="Comma 33" xfId="490"/>
    <cellStyle name="Comma 34" xfId="491"/>
    <cellStyle name="Comma 4" xfId="492"/>
    <cellStyle name="Comma 4 2" xfId="493"/>
    <cellStyle name="Comma 4 2 2" xfId="494"/>
    <cellStyle name="Comma 4 3" xfId="495"/>
    <cellStyle name="Comma 4 4" xfId="496"/>
    <cellStyle name="Comma 5" xfId="497"/>
    <cellStyle name="Comma 5 2" xfId="498"/>
    <cellStyle name="Comma 5 3" xfId="499"/>
    <cellStyle name="Comma 6" xfId="500"/>
    <cellStyle name="Comma 6 2" xfId="501"/>
    <cellStyle name="Comma 6 3" xfId="502"/>
    <cellStyle name="Comma 7" xfId="503"/>
    <cellStyle name="Comma 7 2" xfId="504"/>
    <cellStyle name="Comma 8" xfId="505"/>
    <cellStyle name="Comma 9" xfId="506"/>
    <cellStyle name="Comma 9 2" xfId="507"/>
    <cellStyle name="comma zerodec" xfId="508"/>
    <cellStyle name="Comma_Cocau2004(22-11)" xfId="509"/>
    <cellStyle name="Comma0" xfId="510"/>
    <cellStyle name="Comma0 2" xfId="511"/>
    <cellStyle name="cong" xfId="512"/>
    <cellStyle name="Copied" xfId="513"/>
    <cellStyle name="Co聭ma_Sheet1" xfId="514"/>
    <cellStyle name="Cࡵrrency_Sheet1_PRODUCTĠ" xfId="515"/>
    <cellStyle name="Currency [00]" xfId="516"/>
    <cellStyle name="Currency0" xfId="517"/>
    <cellStyle name="Currency0 2" xfId="518"/>
    <cellStyle name="Currency1" xfId="519"/>
    <cellStyle name="D1" xfId="520"/>
    <cellStyle name="Date" xfId="521"/>
    <cellStyle name="Date 2" xfId="522"/>
    <cellStyle name="Date Short" xfId="523"/>
    <cellStyle name="Date_Book1" xfId="524"/>
    <cellStyle name="DAUDE" xfId="525"/>
    <cellStyle name="Dezimal [0]_35ERI8T2gbIEMixb4v26icuOo" xfId="526"/>
    <cellStyle name="Dezimal_35ERI8T2gbIEMixb4v26icuOo" xfId="527"/>
    <cellStyle name="Dg" xfId="528"/>
    <cellStyle name="Dgia" xfId="529"/>
    <cellStyle name="Dollar (zero dec)" xfId="530"/>
    <cellStyle name="Don gia" xfId="531"/>
    <cellStyle name="Dziesi?tny [0]_Invoices2001Slovakia" xfId="532"/>
    <cellStyle name="Dziesi?tny_Invoices2001Slovakia" xfId="533"/>
    <cellStyle name="Dziesietny [0]_Invoices2001Slovakia" xfId="534"/>
    <cellStyle name="Dziesiętny [0]_Invoices2001Slovakia" xfId="535"/>
    <cellStyle name="Dziesietny [0]_Invoices2001Slovakia_01_Nha so 1_Dien" xfId="536"/>
    <cellStyle name="Dziesiętny [0]_Invoices2001Slovakia_01_Nha so 1_Dien" xfId="537"/>
    <cellStyle name="Dziesietny [0]_Invoices2001Slovakia_10_Nha so 10_Dien1" xfId="538"/>
    <cellStyle name="Dziesiętny [0]_Invoices2001Slovakia_10_Nha so 10_Dien1" xfId="539"/>
    <cellStyle name="Dziesietny [0]_Invoices2001Slovakia_Book1" xfId="540"/>
    <cellStyle name="Dziesiętny [0]_Invoices2001Slovakia_Book1" xfId="541"/>
    <cellStyle name="Dziesietny [0]_Invoices2001Slovakia_Book1_1" xfId="542"/>
    <cellStyle name="Dziesiętny [0]_Invoices2001Slovakia_Book1_1" xfId="543"/>
    <cellStyle name="Dziesietny [0]_Invoices2001Slovakia_Book1_1_Book1" xfId="544"/>
    <cellStyle name="Dziesiętny [0]_Invoices2001Slovakia_Book1_1_Book1" xfId="545"/>
    <cellStyle name="Dziesietny [0]_Invoices2001Slovakia_Book1_2" xfId="546"/>
    <cellStyle name="Dziesiętny [0]_Invoices2001Slovakia_Book1_2" xfId="547"/>
    <cellStyle name="Dziesietny [0]_Invoices2001Slovakia_Book1_Nhu cau von ung truoc 2011 Tha h Hoa + Nge An gui TW" xfId="548"/>
    <cellStyle name="Dziesiętny [0]_Invoices2001Slovakia_Book1_Nhu cau von ung truoc 2011 Tha h Hoa + Nge An gui TW" xfId="549"/>
    <cellStyle name="Dziesietny [0]_Invoices2001Slovakia_Book1_Tong hop Cac tuyen(9-1-06)" xfId="550"/>
    <cellStyle name="Dziesiętny [0]_Invoices2001Slovakia_Book1_Tong hop Cac tuyen(9-1-06)" xfId="551"/>
    <cellStyle name="Dziesietny [0]_Invoices2001Slovakia_Book1_ung truoc 2011 NSTW Thanh Hoa + Nge An gui Thu 12-5" xfId="552"/>
    <cellStyle name="Dziesiętny [0]_Invoices2001Slovakia_Book1_ung truoc 2011 NSTW Thanh Hoa + Nge An gui Thu 12-5" xfId="553"/>
    <cellStyle name="Dziesietny [0]_Invoices2001Slovakia_d-uong+TDT" xfId="554"/>
    <cellStyle name="Dziesiętny [0]_Invoices2001Slovakia_Nhµ ®Ó xe" xfId="555"/>
    <cellStyle name="Dziesietny [0]_Invoices2001Slovakia_Nha bao ve(28-7-05)" xfId="556"/>
    <cellStyle name="Dziesiętny [0]_Invoices2001Slovakia_Nha bao ve(28-7-05)" xfId="557"/>
    <cellStyle name="Dziesietny [0]_Invoices2001Slovakia_NHA de xe nguyen du" xfId="558"/>
    <cellStyle name="Dziesiętny [0]_Invoices2001Slovakia_NHA de xe nguyen du" xfId="559"/>
    <cellStyle name="Dziesietny [0]_Invoices2001Slovakia_Nhalamviec VTC(25-1-05)" xfId="560"/>
    <cellStyle name="Dziesiętny [0]_Invoices2001Slovakia_Nhalamviec VTC(25-1-05)" xfId="561"/>
    <cellStyle name="Dziesietny [0]_Invoices2001Slovakia_Nhu cau von ung truoc 2011 Tha h Hoa + Nge An gui TW" xfId="562"/>
    <cellStyle name="Dziesiętny [0]_Invoices2001Slovakia_TDT KHANH HOA" xfId="563"/>
    <cellStyle name="Dziesietny [0]_Invoices2001Slovakia_TDT KHANH HOA_Tong hop Cac tuyen(9-1-06)" xfId="564"/>
    <cellStyle name="Dziesiętny [0]_Invoices2001Slovakia_TDT KHANH HOA_Tong hop Cac tuyen(9-1-06)" xfId="565"/>
    <cellStyle name="Dziesietny [0]_Invoices2001Slovakia_TDT quangngai" xfId="566"/>
    <cellStyle name="Dziesiętny [0]_Invoices2001Slovakia_TDT quangngai" xfId="567"/>
    <cellStyle name="Dziesietny [0]_Invoices2001Slovakia_TMDT(10-5-06)" xfId="568"/>
    <cellStyle name="Dziesietny_Invoices2001Slovakia" xfId="569"/>
    <cellStyle name="Dziesiętny_Invoices2001Slovakia" xfId="570"/>
    <cellStyle name="Dziesietny_Invoices2001Slovakia_01_Nha so 1_Dien" xfId="571"/>
    <cellStyle name="Dziesiętny_Invoices2001Slovakia_01_Nha so 1_Dien" xfId="572"/>
    <cellStyle name="Dziesietny_Invoices2001Slovakia_10_Nha so 10_Dien1" xfId="573"/>
    <cellStyle name="Dziesiętny_Invoices2001Slovakia_10_Nha so 10_Dien1" xfId="574"/>
    <cellStyle name="Dziesietny_Invoices2001Slovakia_Book1" xfId="575"/>
    <cellStyle name="Dziesiętny_Invoices2001Slovakia_Book1" xfId="576"/>
    <cellStyle name="Dziesietny_Invoices2001Slovakia_Book1_1" xfId="577"/>
    <cellStyle name="Dziesiętny_Invoices2001Slovakia_Book1_1" xfId="578"/>
    <cellStyle name="Dziesietny_Invoices2001Slovakia_Book1_1_Book1" xfId="579"/>
    <cellStyle name="Dziesiętny_Invoices2001Slovakia_Book1_1_Book1" xfId="580"/>
    <cellStyle name="Dziesietny_Invoices2001Slovakia_Book1_2" xfId="581"/>
    <cellStyle name="Dziesiętny_Invoices2001Slovakia_Book1_2" xfId="582"/>
    <cellStyle name="Dziesietny_Invoices2001Slovakia_Book1_Nhu cau von ung truoc 2011 Tha h Hoa + Nge An gui TW" xfId="583"/>
    <cellStyle name="Dziesiętny_Invoices2001Slovakia_Book1_Nhu cau von ung truoc 2011 Tha h Hoa + Nge An gui TW" xfId="584"/>
    <cellStyle name="Dziesietny_Invoices2001Slovakia_Book1_Tong hop Cac tuyen(9-1-06)" xfId="585"/>
    <cellStyle name="Dziesiętny_Invoices2001Slovakia_Book1_Tong hop Cac tuyen(9-1-06)" xfId="586"/>
    <cellStyle name="Dziesietny_Invoices2001Slovakia_Book1_ung truoc 2011 NSTW Thanh Hoa + Nge An gui Thu 12-5" xfId="587"/>
    <cellStyle name="Dziesiętny_Invoices2001Slovakia_Book1_ung truoc 2011 NSTW Thanh Hoa + Nge An gui Thu 12-5" xfId="588"/>
    <cellStyle name="Dziesietny_Invoices2001Slovakia_d-uong+TDT" xfId="589"/>
    <cellStyle name="Dziesiętny_Invoices2001Slovakia_Nhµ ®Ó xe" xfId="590"/>
    <cellStyle name="Dziesietny_Invoices2001Slovakia_Nha bao ve(28-7-05)" xfId="591"/>
    <cellStyle name="Dziesiętny_Invoices2001Slovakia_Nha bao ve(28-7-05)" xfId="592"/>
    <cellStyle name="Dziesietny_Invoices2001Slovakia_NHA de xe nguyen du" xfId="593"/>
    <cellStyle name="Dziesiętny_Invoices2001Slovakia_NHA de xe nguyen du" xfId="594"/>
    <cellStyle name="Dziesietny_Invoices2001Slovakia_Nhalamviec VTC(25-1-05)" xfId="595"/>
    <cellStyle name="Dziesiętny_Invoices2001Slovakia_Nhalamviec VTC(25-1-05)" xfId="596"/>
    <cellStyle name="Dziesietny_Invoices2001Slovakia_Nhu cau von ung truoc 2011 Tha h Hoa + Nge An gui TW" xfId="597"/>
    <cellStyle name="Dziesiętny_Invoices2001Slovakia_TDT KHANH HOA" xfId="598"/>
    <cellStyle name="Dziesietny_Invoices2001Slovakia_TDT KHANH HOA_Tong hop Cac tuyen(9-1-06)" xfId="599"/>
    <cellStyle name="Dziesiętny_Invoices2001Slovakia_TDT KHANH HOA_Tong hop Cac tuyen(9-1-06)" xfId="600"/>
    <cellStyle name="Dziesietny_Invoices2001Slovakia_TDT quangngai" xfId="601"/>
    <cellStyle name="Dziesiętny_Invoices2001Slovakia_TDT quangngai" xfId="602"/>
    <cellStyle name="Dziesietny_Invoices2001Slovakia_TMDT(10-5-06)" xfId="603"/>
    <cellStyle name="e" xfId="604"/>
    <cellStyle name="Enter Currency (0)" xfId="605"/>
    <cellStyle name="Enter Currency (2)" xfId="606"/>
    <cellStyle name="Enter Units (0)" xfId="607"/>
    <cellStyle name="Enter Units (1)" xfId="608"/>
    <cellStyle name="Enter Units (2)" xfId="609"/>
    <cellStyle name="Entered" xfId="610"/>
    <cellStyle name="Euro" xfId="611"/>
    <cellStyle name="Explanatory Text 2" xfId="612"/>
    <cellStyle name="f" xfId="613"/>
    <cellStyle name="f_Danhmuc_Quyhoach2009" xfId="614"/>
    <cellStyle name="Fixed" xfId="615"/>
    <cellStyle name="Fixed 2" xfId="616"/>
    <cellStyle name="gia" xfId="617"/>
    <cellStyle name="Good" xfId="618" builtinId="26"/>
    <cellStyle name="Good 2" xfId="619"/>
    <cellStyle name="Grey" xfId="620"/>
    <cellStyle name="Group" xfId="621"/>
    <cellStyle name="H" xfId="622"/>
    <cellStyle name="ha" xfId="623"/>
    <cellStyle name="HAI" xfId="624"/>
    <cellStyle name="Head 1" xfId="625"/>
    <cellStyle name="HEADER" xfId="626"/>
    <cellStyle name="Header1" xfId="627"/>
    <cellStyle name="Header2" xfId="628"/>
    <cellStyle name="Header2 2" xfId="629"/>
    <cellStyle name="Heading 1 2" xfId="630"/>
    <cellStyle name="Heading 2 2" xfId="631"/>
    <cellStyle name="Heading 3 2" xfId="632"/>
    <cellStyle name="Heading 4 2" xfId="633"/>
    <cellStyle name="HEADING1" xfId="634"/>
    <cellStyle name="HEADING2" xfId="635"/>
    <cellStyle name="HEADINGS" xfId="636"/>
    <cellStyle name="HEADINGSTOP" xfId="637"/>
    <cellStyle name="headoption" xfId="638"/>
    <cellStyle name="Hoa-Scholl" xfId="639"/>
    <cellStyle name="HUY" xfId="640"/>
    <cellStyle name="i phÝ kh¸c_B¶ng 2" xfId="641"/>
    <cellStyle name="I.3" xfId="642"/>
    <cellStyle name="i·0" xfId="643"/>
    <cellStyle name="ï-¾È»ê_BiÓu TB" xfId="644"/>
    <cellStyle name="Input [yellow]" xfId="645"/>
    <cellStyle name="Input 2" xfId="646"/>
    <cellStyle name="Input 3" xfId="647"/>
    <cellStyle name="k_TONG HOP KINH PHI" xfId="648"/>
    <cellStyle name="k_ÿÿÿÿÿ" xfId="649"/>
    <cellStyle name="k_ÿÿÿÿÿ_1" xfId="650"/>
    <cellStyle name="k_ÿÿÿÿÿ_2" xfId="651"/>
    <cellStyle name="kh¸c_Bang Chi tieu" xfId="652"/>
    <cellStyle name="khanh" xfId="653"/>
    <cellStyle name="khung" xfId="654"/>
    <cellStyle name="Ledger 17 x 11 in" xfId="655"/>
    <cellStyle name="Ledger 17 x 11 in 2" xfId="656"/>
    <cellStyle name="Ledger 17 x 11 in 3" xfId="657"/>
    <cellStyle name="Ledger 17 x 11 in 5" xfId="658"/>
    <cellStyle name="left" xfId="659"/>
    <cellStyle name="Line" xfId="660"/>
    <cellStyle name="Link Currency (0)" xfId="661"/>
    <cellStyle name="Link Currency (2)" xfId="662"/>
    <cellStyle name="Link Units (0)" xfId="663"/>
    <cellStyle name="Link Units (1)" xfId="664"/>
    <cellStyle name="Link Units (2)" xfId="665"/>
    <cellStyle name="Linked Cell 2" xfId="666"/>
    <cellStyle name="Loai CBDT" xfId="667"/>
    <cellStyle name="Loai CT" xfId="668"/>
    <cellStyle name="Loai GD" xfId="669"/>
    <cellStyle name="MAU" xfId="670"/>
    <cellStyle name="Millares [0]_Well Timing" xfId="671"/>
    <cellStyle name="Millares_Well Timing" xfId="672"/>
    <cellStyle name="Milliers [0]_      " xfId="673"/>
    <cellStyle name="Milliers_      " xfId="674"/>
    <cellStyle name="Model" xfId="675"/>
    <cellStyle name="moi" xfId="676"/>
    <cellStyle name="Moneda [0]_Well Timing" xfId="677"/>
    <cellStyle name="Moneda_Well Timing" xfId="678"/>
    <cellStyle name="Monétaire [0]_      " xfId="679"/>
    <cellStyle name="Monétaire_      " xfId="680"/>
    <cellStyle name="n" xfId="681"/>
    <cellStyle name="Neutral" xfId="682" builtinId="28"/>
    <cellStyle name="Neutral 2" xfId="683"/>
    <cellStyle name="New Times Roman" xfId="684"/>
    <cellStyle name="nga" xfId="685"/>
    <cellStyle name="no dec" xfId="686"/>
    <cellStyle name="ÑONVÒ" xfId="687"/>
    <cellStyle name="Normal" xfId="0" builtinId="0"/>
    <cellStyle name="Normal - Style1" xfId="688"/>
    <cellStyle name="Normal - Style1 2" xfId="689"/>
    <cellStyle name="Normal - 유형1" xfId="690"/>
    <cellStyle name="Normal 10" xfId="691"/>
    <cellStyle name="Normal 10 3" xfId="692"/>
    <cellStyle name="Normal 11" xfId="693"/>
    <cellStyle name="Normal 12" xfId="694"/>
    <cellStyle name="Normal 12 2" xfId="695"/>
    <cellStyle name="Normal 13" xfId="696"/>
    <cellStyle name="Normal 14" xfId="697"/>
    <cellStyle name="Normal 15" xfId="698"/>
    <cellStyle name="Normal 15 2" xfId="699"/>
    <cellStyle name="Normal 16" xfId="700"/>
    <cellStyle name="Normal 17" xfId="701"/>
    <cellStyle name="Normal 18" xfId="702"/>
    <cellStyle name="Normal 19" xfId="703"/>
    <cellStyle name="Normal 2" xfId="704"/>
    <cellStyle name="Normal 2 2" xfId="705"/>
    <cellStyle name="Normal 2 2 2" xfId="706"/>
    <cellStyle name="Normal 2 2 3" xfId="707"/>
    <cellStyle name="Normal 2 2 33 4" xfId="708"/>
    <cellStyle name="Normal 2 2 4 3" xfId="709"/>
    <cellStyle name="Normal 2 2_2.8 Loc - Bieu KTXH KH 2018- PL2 (bs CN-DV-XNK" xfId="710"/>
    <cellStyle name="Normal 2 3" xfId="711"/>
    <cellStyle name="Normal 2 3 2" xfId="712"/>
    <cellStyle name="Normal 2 3 3" xfId="713"/>
    <cellStyle name="Normal 2 4" xfId="714"/>
    <cellStyle name="Normal 2 4 2" xfId="715"/>
    <cellStyle name="Normal 2 5" xfId="716"/>
    <cellStyle name="Normal 2 6" xfId="717"/>
    <cellStyle name="Normal 2 7" xfId="718"/>
    <cellStyle name="Normal 2 8" xfId="719"/>
    <cellStyle name="Normal 2_02.8 Phu luc 1- Bieu chi tieu KT-XH 2018 (DKKD) (2)" xfId="720"/>
    <cellStyle name="Normal 20" xfId="721"/>
    <cellStyle name="Normal 21" xfId="722"/>
    <cellStyle name="Normal 22" xfId="723"/>
    <cellStyle name="Normal 23" xfId="724"/>
    <cellStyle name="Normal 24" xfId="725"/>
    <cellStyle name="Normal 25" xfId="1082"/>
    <cellStyle name="Normal 28" xfId="726"/>
    <cellStyle name="Normal 3" xfId="727"/>
    <cellStyle name="Normal 3 2" xfId="728"/>
    <cellStyle name="Normal 3 3" xfId="729"/>
    <cellStyle name="Normal 3 8" xfId="730"/>
    <cellStyle name="Normal 3_Bieu tong hop nhu cau ung 2011 da chon loc -Mien nui" xfId="731"/>
    <cellStyle name="Normal 4" xfId="732"/>
    <cellStyle name="Normal 4 2" xfId="733"/>
    <cellStyle name="Normal 4 2 2" xfId="734"/>
    <cellStyle name="Normal 4 3" xfId="735"/>
    <cellStyle name="Normal 4 4" xfId="736"/>
    <cellStyle name="Normal 4_KH%20KTDN%202013%20%28File%20kem%29%20-%20gui%20An%20-%20Bo%20KHDT(1)" xfId="737"/>
    <cellStyle name="Normal 5" xfId="738"/>
    <cellStyle name="Normal 5 2" xfId="739"/>
    <cellStyle name="Normal 5 3" xfId="740"/>
    <cellStyle name="Normal 5_Bao cao chi tiet NSDP thang 13-2010 (KH+TC)" xfId="741"/>
    <cellStyle name="Normal 6" xfId="742"/>
    <cellStyle name="Normal 6 2" xfId="743"/>
    <cellStyle name="Normal 6 2 2" xfId="744"/>
    <cellStyle name="Normal 6 3" xfId="745"/>
    <cellStyle name="Normal 6 4" xfId="746"/>
    <cellStyle name="Normal 6_KH%20KTDN%202013%20%28File%20kem%29%20-%20gui%20An%20-%20Bo%20KHDT(1)" xfId="747"/>
    <cellStyle name="Normal 7" xfId="748"/>
    <cellStyle name="Normal 7 2" xfId="749"/>
    <cellStyle name="Normal 7 3" xfId="750"/>
    <cellStyle name="Normal 7_KH%20KTDN%202013%20%28File%20kem%29%20-%20gui%20An%20-%20Bo%20KHDT(1)" xfId="751"/>
    <cellStyle name="Normal 8" xfId="752"/>
    <cellStyle name="Normal 8 2" xfId="753"/>
    <cellStyle name="Normal 8 3" xfId="754"/>
    <cellStyle name="Normal 8_KH%20KTDN%202013%20%28File%20kem%29%20-%20gui%20An%20-%20Bo%20KHDT(1)" xfId="755"/>
    <cellStyle name="Normal 9" xfId="756"/>
    <cellStyle name="Normal_Cocau2004(22-11)" xfId="757"/>
    <cellStyle name="Normal_Phu luc 2 (11.10.08)" xfId="758"/>
    <cellStyle name="Normal1" xfId="759"/>
    <cellStyle name="Normal8" xfId="760"/>
    <cellStyle name="Normalny_Cennik obowiazuje od 06-08-2001 r (1)" xfId="761"/>
    <cellStyle name="Note 2" xfId="762"/>
    <cellStyle name="NWM" xfId="763"/>
    <cellStyle name="Ò_x000d_Normal_123569" xfId="764"/>
    <cellStyle name="Œ…‹æØ‚è [0.00]_laroux" xfId="765"/>
    <cellStyle name="Œ…‹æØ‚è_laroux" xfId="766"/>
    <cellStyle name="oft Excel]_x000d__x000a_Comment=open=/f ‚ðw’è‚·‚é‚ÆAƒ†[ƒU[’è‹`ŠÖ”‚ðŠÖ”“\‚è•t‚¯‚Ìˆê——‚É“o˜^‚·‚é‚±‚Æ‚ª‚Å‚«‚Ü‚·B_x000d__x000a_Maximized" xfId="767"/>
    <cellStyle name="oft Excel]_x000d__x000a_Comment=open=/f ‚ðŽw’è‚·‚é‚ÆAƒ†[ƒU[’è‹`ŠÖ”‚ðŠÖ”“\‚è•t‚¯‚Ìˆê——‚É“o˜^‚·‚é‚±‚Æ‚ª‚Å‚«‚Ü‚·B_x000d__x000a_Maximized" xfId="768"/>
    <cellStyle name="oft Excel]_x000d__x000a_Comment=The open=/f lines load custom functions into the Paste Function list._x000d__x000a_Maximized=2_x000d__x000a_Basics=1_x000d__x000a_A" xfId="769"/>
    <cellStyle name="oft Excel]_x000d__x000a_Comment=The open=/f lines load custom functions into the Paste Function list._x000d__x000a_Maximized=3_x000d__x000a_Basics=1_x000d__x000a_A" xfId="770"/>
    <cellStyle name="omma [0]_Mktg Prog" xfId="771"/>
    <cellStyle name="ormal_Sheet1_1" xfId="772"/>
    <cellStyle name="Output 2" xfId="773"/>
    <cellStyle name="p" xfId="774"/>
    <cellStyle name="Pattern" xfId="775"/>
    <cellStyle name="per.style" xfId="776"/>
    <cellStyle name="Percent" xfId="777" builtinId="5"/>
    <cellStyle name="Percent [0]" xfId="778"/>
    <cellStyle name="Percent [00]" xfId="779"/>
    <cellStyle name="Percent [2]" xfId="780"/>
    <cellStyle name="Percent 2" xfId="781"/>
    <cellStyle name="Percent 2 2" xfId="782"/>
    <cellStyle name="Percent 3" xfId="783"/>
    <cellStyle name="Percent 4" xfId="784"/>
    <cellStyle name="Percent 5" xfId="785"/>
    <cellStyle name="Percent 6" xfId="786"/>
    <cellStyle name="Percent 7" xfId="787"/>
    <cellStyle name="Percent 8" xfId="788"/>
    <cellStyle name="PERCENTAGE" xfId="789"/>
    <cellStyle name="PrePop Currency (0)" xfId="790"/>
    <cellStyle name="PrePop Currency (2)" xfId="791"/>
    <cellStyle name="PrePop Units (0)" xfId="792"/>
    <cellStyle name="PrePop Units (1)" xfId="793"/>
    <cellStyle name="PrePop Units (2)" xfId="794"/>
    <cellStyle name="pricing" xfId="795"/>
    <cellStyle name="PSChar" xfId="796"/>
    <cellStyle name="PSHeading" xfId="797"/>
    <cellStyle name="Quantity" xfId="798"/>
    <cellStyle name="regstoresfromspecstores" xfId="799"/>
    <cellStyle name="RevList" xfId="800"/>
    <cellStyle name="rlink_tiªn l­în_x001b_Hyperlink_TONG HOP KINH PHI" xfId="801"/>
    <cellStyle name="rmal_ADAdot" xfId="802"/>
    <cellStyle name="S—_x0008_" xfId="803"/>
    <cellStyle name="s]_x000d__x000a_spooler=yes_x000d__x000a_load=_x000d__x000a_Beep=yes_x000d__x000a_NullPort=None_x000d__x000a_BorderWidth=3_x000d__x000a_CursorBlinkRate=1200_x000d__x000a_DoubleClickSpeed=452_x000d__x000a_Programs=co" xfId="804"/>
    <cellStyle name="SAPBEXaggData" xfId="805"/>
    <cellStyle name="SAPBEXaggDataEmph" xfId="806"/>
    <cellStyle name="SAPBEXaggItem" xfId="807"/>
    <cellStyle name="SAPBEXchaText" xfId="808"/>
    <cellStyle name="SAPBEXexcBad7" xfId="809"/>
    <cellStyle name="SAPBEXexcBad8" xfId="810"/>
    <cellStyle name="SAPBEXexcBad9" xfId="811"/>
    <cellStyle name="SAPBEXexcCritical4" xfId="812"/>
    <cellStyle name="SAPBEXexcCritical5" xfId="813"/>
    <cellStyle name="SAPBEXexcCritical6" xfId="814"/>
    <cellStyle name="SAPBEXexcGood1" xfId="815"/>
    <cellStyle name="SAPBEXexcGood2" xfId="816"/>
    <cellStyle name="SAPBEXexcGood3" xfId="817"/>
    <cellStyle name="SAPBEXfilterDrill" xfId="818"/>
    <cellStyle name="SAPBEXfilterItem" xfId="819"/>
    <cellStyle name="SAPBEXfilterText" xfId="820"/>
    <cellStyle name="SAPBEXformats" xfId="821"/>
    <cellStyle name="SAPBEXheaderItem" xfId="822"/>
    <cellStyle name="SAPBEXheaderText" xfId="823"/>
    <cellStyle name="SAPBEXresData" xfId="824"/>
    <cellStyle name="SAPBEXresDataEmph" xfId="825"/>
    <cellStyle name="SAPBEXresItem" xfId="826"/>
    <cellStyle name="SAPBEXstdData" xfId="827"/>
    <cellStyle name="SAPBEXstdDataEmph" xfId="828"/>
    <cellStyle name="SAPBEXstdItem" xfId="829"/>
    <cellStyle name="SAPBEXtitle" xfId="830"/>
    <cellStyle name="SAPBEXundefined" xfId="831"/>
    <cellStyle name="serJet 1200 Series PCL 6" xfId="832"/>
    <cellStyle name="SHADEDSTORES" xfId="833"/>
    <cellStyle name="songuyen" xfId="834"/>
    <cellStyle name="specstores" xfId="835"/>
    <cellStyle name="Standard_AAbgleich" xfId="836"/>
    <cellStyle name="STTDG" xfId="837"/>
    <cellStyle name="Style 1" xfId="838"/>
    <cellStyle name="Style 10" xfId="839"/>
    <cellStyle name="Style 11" xfId="840"/>
    <cellStyle name="Style 12" xfId="841"/>
    <cellStyle name="Style 13" xfId="842"/>
    <cellStyle name="Style 14" xfId="843"/>
    <cellStyle name="Style 15" xfId="844"/>
    <cellStyle name="Style 16" xfId="845"/>
    <cellStyle name="Style 17" xfId="846"/>
    <cellStyle name="Style 18" xfId="847"/>
    <cellStyle name="Style 19" xfId="848"/>
    <cellStyle name="Style 2" xfId="849"/>
    <cellStyle name="Style 20" xfId="850"/>
    <cellStyle name="Style 21" xfId="851"/>
    <cellStyle name="Style 22" xfId="852"/>
    <cellStyle name="Style 23" xfId="853"/>
    <cellStyle name="Style 24" xfId="854"/>
    <cellStyle name="Style 25" xfId="855"/>
    <cellStyle name="Style 26" xfId="856"/>
    <cellStyle name="Style 27" xfId="857"/>
    <cellStyle name="Style 28" xfId="858"/>
    <cellStyle name="Style 29" xfId="859"/>
    <cellStyle name="Style 3" xfId="860"/>
    <cellStyle name="Style 30" xfId="861"/>
    <cellStyle name="Style 31" xfId="862"/>
    <cellStyle name="Style 32" xfId="863"/>
    <cellStyle name="Style 33" xfId="864"/>
    <cellStyle name="Style 34" xfId="865"/>
    <cellStyle name="Style 35" xfId="866"/>
    <cellStyle name="Style 36" xfId="867"/>
    <cellStyle name="Style 37" xfId="868"/>
    <cellStyle name="Style 38" xfId="869"/>
    <cellStyle name="Style 39" xfId="870"/>
    <cellStyle name="Style 4" xfId="871"/>
    <cellStyle name="Style 40" xfId="872"/>
    <cellStyle name="Style 41" xfId="873"/>
    <cellStyle name="Style 42" xfId="874"/>
    <cellStyle name="Style 43" xfId="875"/>
    <cellStyle name="Style 44" xfId="876"/>
    <cellStyle name="Style 45" xfId="877"/>
    <cellStyle name="Style 46" xfId="878"/>
    <cellStyle name="Style 47" xfId="879"/>
    <cellStyle name="Style 48" xfId="880"/>
    <cellStyle name="Style 49" xfId="881"/>
    <cellStyle name="Style 5" xfId="882"/>
    <cellStyle name="Style 50" xfId="883"/>
    <cellStyle name="Style 51" xfId="884"/>
    <cellStyle name="Style 52" xfId="885"/>
    <cellStyle name="Style 53" xfId="886"/>
    <cellStyle name="Style 54" xfId="887"/>
    <cellStyle name="Style 55" xfId="888"/>
    <cellStyle name="Style 56" xfId="889"/>
    <cellStyle name="Style 57" xfId="890"/>
    <cellStyle name="Style 58" xfId="891"/>
    <cellStyle name="Style 59" xfId="892"/>
    <cellStyle name="Style 6" xfId="893"/>
    <cellStyle name="Style 60" xfId="894"/>
    <cellStyle name="Style 61" xfId="895"/>
    <cellStyle name="Style 62" xfId="896"/>
    <cellStyle name="Style 63" xfId="897"/>
    <cellStyle name="Style 64" xfId="898"/>
    <cellStyle name="Style 65" xfId="899"/>
    <cellStyle name="Style 66" xfId="900"/>
    <cellStyle name="Style 67" xfId="901"/>
    <cellStyle name="Style 68" xfId="902"/>
    <cellStyle name="Style 69" xfId="903"/>
    <cellStyle name="Style 7" xfId="904"/>
    <cellStyle name="Style 70" xfId="905"/>
    <cellStyle name="Style 71" xfId="906"/>
    <cellStyle name="Style 72" xfId="907"/>
    <cellStyle name="Style 73" xfId="908"/>
    <cellStyle name="Style 74" xfId="909"/>
    <cellStyle name="Style 8" xfId="910"/>
    <cellStyle name="Style 9" xfId="911"/>
    <cellStyle name="Style Date" xfId="912"/>
    <cellStyle name="style_1" xfId="913"/>
    <cellStyle name="subhead" xfId="914"/>
    <cellStyle name="Subtotal" xfId="915"/>
    <cellStyle name="symbol" xfId="916"/>
    <cellStyle name="T" xfId="917"/>
    <cellStyle name="T_bao cao" xfId="918"/>
    <cellStyle name="T_Bao cao so lieu kiem toan nam 2007 sua" xfId="919"/>
    <cellStyle name="T_BBTNG-06" xfId="920"/>
    <cellStyle name="T_BC CTMT-2008 Ttinh" xfId="921"/>
    <cellStyle name="T_Bieu mau danh muc du an thuoc CTMTQG nam 2008" xfId="922"/>
    <cellStyle name="T_Bieu tong hop nhu cau ung 2011 da chon loc -Mien nui" xfId="923"/>
    <cellStyle name="T_Book1" xfId="924"/>
    <cellStyle name="T_Book1_1" xfId="925"/>
    <cellStyle name="T_Book1_1_Bieu tong hop nhu cau ung 2011 da chon loc -Mien nui" xfId="926"/>
    <cellStyle name="T_Book1_1_CPK" xfId="927"/>
    <cellStyle name="T_Book1_1_Luy ke von ung nam 2011 -Thoa gui ngay 12-8-2012" xfId="928"/>
    <cellStyle name="T_Book1_1_Thiet bi" xfId="929"/>
    <cellStyle name="T_Book1_BC NQ11-CP - chinh sua lai" xfId="930"/>
    <cellStyle name="T_Book1_BC NQ11-CP-Quynh sau bieu so3" xfId="931"/>
    <cellStyle name="T_Book1_BC_NQ11-CP_-_Thao_sua_lai" xfId="932"/>
    <cellStyle name="T_Book1_Bieu mau danh muc du an thuoc CTMTQG nam 2008" xfId="933"/>
    <cellStyle name="T_Book1_Bieu tong hop nhu cau ung 2011 da chon loc -Mien nui" xfId="934"/>
    <cellStyle name="T_Book1_Book1" xfId="935"/>
    <cellStyle name="T_Book1_Cong trinh co y kien LD_Dang_NN_2011-Tay nguyen-9-10" xfId="936"/>
    <cellStyle name="T_Book1_CPK" xfId="937"/>
    <cellStyle name="T_Book1_Du an khoi cong moi nam 2010" xfId="938"/>
    <cellStyle name="T_Book1_Hang Tom goi9 9-07(Cau 12 sua)" xfId="939"/>
    <cellStyle name="T_Book1_Ket qua phan bo von nam 2008" xfId="940"/>
    <cellStyle name="T_Book1_KH XDCB_2008 lan 2 sua ngay 10-11" xfId="941"/>
    <cellStyle name="T_Book1_Khoi luong chinh Hang Tom" xfId="942"/>
    <cellStyle name="T_Book1_Luy ke von ung nam 2011 -Thoa gui ngay 12-8-2012" xfId="943"/>
    <cellStyle name="T_Book1_Nhu cau von ung truoc 2011 Tha h Hoa + Nge An gui TW" xfId="944"/>
    <cellStyle name="T_Book1_phu luc tong ket tinh hinh TH giai doan 03-10 (ngay 30)" xfId="945"/>
    <cellStyle name="T_Book1_TH ung tren 70%-Ra soat phap ly-8-6 (dung de chuyen vao vu TH)" xfId="946"/>
    <cellStyle name="T_Book1_TH y kien LD_KH 2010 Ca Nuoc 22-9-2011-Gui ca Vu" xfId="947"/>
    <cellStyle name="T_Book1_Thiet bi" xfId="948"/>
    <cellStyle name="T_Book1_TN - Ho tro khac 2011" xfId="949"/>
    <cellStyle name="T_Book1_ung truoc 2011 NSTW Thanh Hoa + Nge An gui Thu 12-5" xfId="950"/>
    <cellStyle name="T_Chuan bi dau tu nam 2008" xfId="951"/>
    <cellStyle name="T_Copy of Bao cao  XDCB 7 thang nam 2008_So KH&amp;DT SUA" xfId="952"/>
    <cellStyle name="T_CPK" xfId="953"/>
    <cellStyle name="T_CTMTQG 2008" xfId="954"/>
    <cellStyle name="T_CTMTQG 2008_Bieu mau danh muc du an thuoc CTMTQG nam 2008" xfId="955"/>
    <cellStyle name="T_CTMTQG 2008_Hi-Tong hop KQ phan bo KH nam 08- LD fong giao 15-11-08" xfId="956"/>
    <cellStyle name="T_CTMTQG 2008_Ket qua thuc hien nam 2008" xfId="957"/>
    <cellStyle name="T_CTMTQG 2008_KH XDCB_2008 lan 1" xfId="958"/>
    <cellStyle name="T_CTMTQG 2008_KH XDCB_2008 lan 1 sua ngay 27-10" xfId="959"/>
    <cellStyle name="T_CTMTQG 2008_KH XDCB_2008 lan 2 sua ngay 10-11" xfId="960"/>
    <cellStyle name="T_Du an khoi cong moi nam 2010" xfId="961"/>
    <cellStyle name="T_DU AN TKQH VA CHUAN BI DAU TU NAM 2007 sua ngay 9-11" xfId="962"/>
    <cellStyle name="T_DU AN TKQH VA CHUAN BI DAU TU NAM 2007 sua ngay 9-11_Bieu mau danh muc du an thuoc CTMTQG nam 2008" xfId="963"/>
    <cellStyle name="T_DU AN TKQH VA CHUAN BI DAU TU NAM 2007 sua ngay 9-11_Du an khoi cong moi nam 2010" xfId="964"/>
    <cellStyle name="T_DU AN TKQH VA CHUAN BI DAU TU NAM 2007 sua ngay 9-11_Ket qua phan bo von nam 2008" xfId="965"/>
    <cellStyle name="T_DU AN TKQH VA CHUAN BI DAU TU NAM 2007 sua ngay 9-11_KH XDCB_2008 lan 2 sua ngay 10-11" xfId="966"/>
    <cellStyle name="T_du toan dieu chinh  20-8-2006" xfId="967"/>
    <cellStyle name="T_Ht-PTq1-03" xfId="968"/>
    <cellStyle name="T_Ke hoach KTXH  nam 2009_PKT thang 11 nam 2008" xfId="969"/>
    <cellStyle name="T_Ket qua dau thau" xfId="970"/>
    <cellStyle name="T_Ket qua phan bo von nam 2008" xfId="971"/>
    <cellStyle name="T_KH XDCB_2008 lan 2 sua ngay 10-11" xfId="972"/>
    <cellStyle name="T_Me_Tri_6_07" xfId="973"/>
    <cellStyle name="T_N2 thay dat (N1-1)" xfId="974"/>
    <cellStyle name="T_Phuong an can doi nam 2008" xfId="975"/>
    <cellStyle name="T_Seagame(BTL)" xfId="976"/>
    <cellStyle name="T_So GTVT" xfId="977"/>
    <cellStyle name="T_TDT + duong(8-5-07)" xfId="978"/>
    <cellStyle name="T_tham_tra_du_toan" xfId="979"/>
    <cellStyle name="T_Thiet bi" xfId="980"/>
    <cellStyle name="T_TK_HT" xfId="981"/>
    <cellStyle name="T_ÿÿÿÿÿ" xfId="982"/>
    <cellStyle name="Text Indent A" xfId="983"/>
    <cellStyle name="Text Indent B" xfId="984"/>
    <cellStyle name="Text Indent C" xfId="985"/>
    <cellStyle name="th" xfId="986"/>
    <cellStyle name="than" xfId="987"/>
    <cellStyle name="þ_x001d_ð¤_x000c_¯þ_x0014__x000d_¨þU_x0001_À_x0004_ _x0015__x000f__x0001__x0001_" xfId="988"/>
    <cellStyle name="þ_x001d_ð·_x000c_æþ'_x000d_ßþU_x0001_Ø_x0005_ü_x0014__x0007__x0001__x0001_" xfId="989"/>
    <cellStyle name="þ_x001d_ðÇ%Uý—&amp;Hý9_x0008_Ÿ s_x000a__x0007__x0001__x0001_" xfId="990"/>
    <cellStyle name="þ_x001d_ðK_x000c_Fý_x001b__x000d_9ýU_x0001_Ð_x0008_¦)_x0007__x0001__x0001_" xfId="991"/>
    <cellStyle name="thuong-10" xfId="992"/>
    <cellStyle name="thuong-11" xfId="993"/>
    <cellStyle name="Thuyet minh" xfId="994"/>
    <cellStyle name="Tien1" xfId="995"/>
    <cellStyle name="Tieu_de_2" xfId="996"/>
    <cellStyle name="Times New Roman" xfId="997"/>
    <cellStyle name="tit1" xfId="998"/>
    <cellStyle name="tit2" xfId="999"/>
    <cellStyle name="tit3" xfId="1000"/>
    <cellStyle name="tit4" xfId="1001"/>
    <cellStyle name="Title 2" xfId="1002"/>
    <cellStyle name="Tong so" xfId="1003"/>
    <cellStyle name="tong so 1" xfId="1004"/>
    <cellStyle name="Tongcong" xfId="1005"/>
    <cellStyle name="Total 2" xfId="1006"/>
    <cellStyle name="trang" xfId="1007"/>
    <cellStyle name="tt1" xfId="1008"/>
    <cellStyle name="Tusental (0)_pldt" xfId="1009"/>
    <cellStyle name="Tusental_pldt" xfId="1010"/>
    <cellStyle name="ux_3_¼­¿ï-¾È»ê" xfId="1011"/>
    <cellStyle name="Valuta (0)_pldt" xfId="1012"/>
    <cellStyle name="Valuta_pldt" xfId="1013"/>
    <cellStyle name="VANG1" xfId="1014"/>
    <cellStyle name="viet" xfId="1015"/>
    <cellStyle name="viet2" xfId="1016"/>
    <cellStyle name="VN new romanNormal" xfId="1017"/>
    <cellStyle name="Vn Time 13" xfId="1018"/>
    <cellStyle name="Vn Time 14" xfId="1019"/>
    <cellStyle name="VN time new roman" xfId="1020"/>
    <cellStyle name="vnbo" xfId="1021"/>
    <cellStyle name="vnhead1" xfId="1022"/>
    <cellStyle name="vnhead2" xfId="1023"/>
    <cellStyle name="vnhead3" xfId="1024"/>
    <cellStyle name="vnhead4" xfId="1025"/>
    <cellStyle name="vntxt1" xfId="1026"/>
    <cellStyle name="vntxt2" xfId="1027"/>
    <cellStyle name="W?hrung [0]_35ERI8T2gbIEMixb4v26icuOo" xfId="1028"/>
    <cellStyle name="W?hrung_35ERI8T2gbIEMixb4v26icuOo" xfId="1029"/>
    <cellStyle name="Währung [0]_ALLE_ITEMS_280800_EV_NL" xfId="1030"/>
    <cellStyle name="Währung_AKE_100N" xfId="1031"/>
    <cellStyle name="Walutowy [0]_Invoices2001Slovakia" xfId="1032"/>
    <cellStyle name="Walutowy_Invoices2001Slovakia" xfId="1033"/>
    <cellStyle name="Warning Text 2" xfId="1034"/>
    <cellStyle name="wrap" xfId="1035"/>
    <cellStyle name="Wไhrung [0]_35ERI8T2gbIEMixb4v26icuOo" xfId="1036"/>
    <cellStyle name="Wไhrung_35ERI8T2gbIEMixb4v26icuOo" xfId="1037"/>
    <cellStyle name="xuan" xfId="1038"/>
    <cellStyle name="y" xfId="1039"/>
    <cellStyle name="Ý kh¸c_B¶ng 1 (2)" xfId="1040"/>
    <cellStyle name="เครื่องหมายสกุลเงิน [0]_FTC_OFFER" xfId="1041"/>
    <cellStyle name="เครื่องหมายสกุลเงิน_FTC_OFFER" xfId="1042"/>
    <cellStyle name="ปกติ_FTC_OFFER" xfId="1043"/>
    <cellStyle name=" [0.00]_ Att. 1- Cover" xfId="1044"/>
    <cellStyle name="_ Att. 1- Cover" xfId="1045"/>
    <cellStyle name="?_ Att. 1- Cover" xfId="1046"/>
    <cellStyle name="똿뗦먛귟 [0.00]_PRODUCT DETAIL Q1" xfId="1047"/>
    <cellStyle name="똿뗦먛귟_PRODUCT DETAIL Q1" xfId="1048"/>
    <cellStyle name="믅됞 [0.00]_PRODUCT DETAIL Q1" xfId="1049"/>
    <cellStyle name="믅됞_PRODUCT DETAIL Q1" xfId="1050"/>
    <cellStyle name="백분율_††††† " xfId="1051"/>
    <cellStyle name="뷭?_BOOKSHIP" xfId="1052"/>
    <cellStyle name="안건회계법인" xfId="1053"/>
    <cellStyle name="콤마 [ - 유형1" xfId="1054"/>
    <cellStyle name="콤마 [ - 유형2" xfId="1055"/>
    <cellStyle name="콤마 [ - 유형3" xfId="1056"/>
    <cellStyle name="콤마 [ - 유형4" xfId="1057"/>
    <cellStyle name="콤마 [ - 유형5" xfId="1058"/>
    <cellStyle name="콤마 [ - 유형6" xfId="1059"/>
    <cellStyle name="콤마 [ - 유형7" xfId="1060"/>
    <cellStyle name="콤마 [ - 유형8" xfId="1061"/>
    <cellStyle name="콤마 [0]_ 비목별 월별기술 " xfId="1062"/>
    <cellStyle name="콤마_ 비목별 월별기술 " xfId="1063"/>
    <cellStyle name="통화 [0]_††††† " xfId="1064"/>
    <cellStyle name="통화_††††† " xfId="1065"/>
    <cellStyle name="표준_ 97년 경영분석(안)" xfId="1066"/>
    <cellStyle name="표줠_Sheet1_1_총괄표 (수출입) (2)" xfId="1067"/>
    <cellStyle name="一般_00Q3902REV.1" xfId="1068"/>
    <cellStyle name="千分位[0]_00Q3902REV.1" xfId="1069"/>
    <cellStyle name="千分位_00Q3902REV.1" xfId="1070"/>
    <cellStyle name="桁区切り [0.00]_BE-BQ" xfId="1071"/>
    <cellStyle name="桁区切り_BE-BQ" xfId="1072"/>
    <cellStyle name="標準_(A1)BOQ " xfId="1073"/>
    <cellStyle name="貨幣 [0]_00Q3902REV.1" xfId="1074"/>
    <cellStyle name="貨幣[0]_BRE" xfId="1075"/>
    <cellStyle name="貨幣_00Q3902REV.1" xfId="1076"/>
    <cellStyle name="通貨 [0.00]_BE-BQ" xfId="1077"/>
    <cellStyle name="通貨_BE-BQ" xfId="10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2011-2015\2011-2015\FINAL\5nam2011-2015\2011\Thang8-2011\HopCP(30-8-2011)\cocauDT(28-8-201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am%20hong\Downloads\Bieu%20ra%20soat%20so%20lieu%20xay%20dung%20bao%20cao%20chinh%20tri%20(30.12.2019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IPE-03E"/>
      <sheetName val="DT"/>
      <sheetName val="THND"/>
      <sheetName val="klcong"/>
      <sheetName val="THMD"/>
      <sheetName val="Phtro1"/>
      <sheetName val="DTKS1"/>
      <sheetName val="CT1m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BC_KKTSCD"/>
      <sheetName val="Chitiet"/>
      <sheetName val="Sheet2 (2)"/>
      <sheetName val="Mau_BC_KKTSCD"/>
      <sheetName val="KH 2003 (moi max)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00000000"/>
      <sheetName val="Congty"/>
      <sheetName val="VPPN"/>
      <sheetName val="XN74"/>
      <sheetName val="XN54"/>
      <sheetName val="XN33"/>
      <sheetName val="NK96"/>
      <sheetName val="XL4Test5"/>
      <sheetName val="MD"/>
      <sheetName val="ND"/>
      <sheetName val="CONG"/>
      <sheetName val="DGCT"/>
      <sheetName val="KH12"/>
      <sheetName val="CN12"/>
      <sheetName val="HD12"/>
      <sheetName val="KH1"/>
      <sheetName val="Chi tiet - Dv lap"/>
      <sheetName val="TH KHTC"/>
      <sheetName val="000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Tong hop"/>
      <sheetName val="KL tong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Dong Dau"/>
      <sheetName val="Dong Dau (2)"/>
      <sheetName val="Sau dong"/>
      <sheetName val="Ma xa"/>
      <sheetName val="My dinh"/>
      <sheetName val="Tong cong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VL"/>
      <sheetName val="CTXD"/>
      <sheetName val=".."/>
      <sheetName val="CTDN"/>
      <sheetName val="san vuon"/>
      <sheetName val="khu phu tro"/>
      <sheetName val="Phu luc"/>
      <sheetName val="Gia trÞ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VAT TU NHAN TXQN"/>
      <sheetName val="bang tong ke khoi luong vat tu"/>
      <sheetName val="hcong tkhe"/>
      <sheetName val="VAT TU NHAN TKHE"/>
      <sheetName val="hcong qn"/>
      <sheetName val="VAT TU NHAN (2)"/>
      <sheetName val="THCT"/>
      <sheetName val="cap cho cac DT"/>
      <sheetName val="Ung - hoan"/>
      <sheetName val="CP may"/>
      <sheetName val="SS"/>
      <sheetName val="NVL"/>
      <sheetName val="10000000"/>
      <sheetName val="sent to"/>
      <sheetName val="Thuyet minh"/>
      <sheetName val="CQ-HQ"/>
      <sheetName val="dutoan1"/>
      <sheetName val="Anhtoan"/>
      <sheetName val="dutoan2"/>
      <sheetName val="vat tu"/>
      <sheetName val="9"/>
      <sheetName val="10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00000001"/>
      <sheetName val="00000002"/>
      <sheetName val="00000003"/>
      <sheetName val="00000004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Thep "/>
      <sheetName val="Chi tiet Khoi luong"/>
      <sheetName val="TH khoi luong"/>
      <sheetName val="Chiet tinh vat lieu "/>
      <sheetName val="TH KL VL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CHIT"/>
      <sheetName val="THXH"/>
      <sheetName val="BHXH"/>
      <sheetName val="phan tich DG"/>
      <sheetName val="gia vat lieu"/>
      <sheetName val="gia xe may"/>
      <sheetName val="gia nhan cong"/>
      <sheetName val="cong Q2"/>
      <sheetName val="T.U luong Q1"/>
      <sheetName val="T.U luong Q2"/>
      <sheetName val="T.U luong Q3"/>
      <sheetName val="tc"/>
      <sheetName val="TDT"/>
      <sheetName val="xl"/>
      <sheetName val="NN"/>
      <sheetName val="Tralaivay"/>
      <sheetName val="TBTN"/>
      <sheetName val="CPTV"/>
      <sheetName val="PCCHAY"/>
      <sheetName val="dtks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cong bien t10"/>
      <sheetName val="luong t9 "/>
      <sheetName val="bb t9"/>
      <sheetName val="XETT10-03"/>
      <sheetName val="bxet"/>
      <sheetName val="clvl"/>
      <sheetName val="Chenh lech"/>
      <sheetName val="Kinh phí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XN79"/>
      <sheetName val="CTMT"/>
      <sheetName val="C45A-BH"/>
      <sheetName val="C46A-BH"/>
      <sheetName val="C47A-BH"/>
      <sheetName val="C48A-BH"/>
      <sheetName val="S-53-1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Q1-02"/>
      <sheetName val="Q2-02"/>
      <sheetName val="Q3-02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#REF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Caodo"/>
      <sheetName val="Dat"/>
      <sheetName val="KL-CTTK"/>
      <sheetName val="BTH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Dong nai"/>
      <sheetName val="LUU1704"/>
      <sheetName val="Phu luc HD"/>
      <sheetName val="Gia du thau"/>
      <sheetName val="PTDG"/>
      <sheetName val="Ca xe"/>
      <sheetName val="binh do"/>
      <sheetName val="cot lieu"/>
      <sheetName val="van khuon"/>
      <sheetName val="CT BT"/>
      <sheetName val="lay mau"/>
      <sheetName val="mat ngoai goi"/>
      <sheetName val="coc tram-bt"/>
      <sheetName val="Tien ung"/>
      <sheetName val="phi luong3"/>
      <sheetName val="Quyet toan"/>
      <sheetName val="Thu hoi"/>
      <sheetName val="Lai vay"/>
      <sheetName val="Tien vay"/>
      <sheetName val="Cong no"/>
      <sheetName val="Cop pha"/>
      <sheetName val="20000000"/>
      <sheetName val="THDT"/>
      <sheetName val="DM-Goc"/>
      <sheetName val="Gia-CT"/>
      <sheetName val="PTCP"/>
      <sheetName val="cphoi"/>
      <sheetName val="T1(T1)04"/>
      <sheetName val="KH-2001"/>
      <sheetName val="KH-2002"/>
      <sheetName val="KH-2003"/>
      <sheetName val="DGTL"/>
      <sheetName val="®¬ngi¸"/>
      <sheetName val="dongle"/>
      <sheetName val="XE DAU"/>
      <sheetName val="XE XANG"/>
      <sheetName val="CT xa"/>
      <sheetName val="TLGC"/>
      <sheetName val="BL"/>
      <sheetName val="Thang 12"/>
      <sheetName val="Thang 1"/>
      <sheetName val="moi"/>
      <sheetName val="Thang 12 (2)"/>
      <sheetName val="Thang 01"/>
      <sheetName val="TH mau moi tu T10"/>
      <sheetName val="Tong hop Quy IV"/>
      <sheetName val="Tong Thu"/>
      <sheetName val="Tong Chi"/>
      <sheetName val="Truong hoc"/>
      <sheetName val="Cty CP"/>
      <sheetName val="G.thau 3B"/>
      <sheetName val="T.Hop Thu-chi"/>
      <sheetName val="DGXDCB"/>
      <sheetName val="DEM"/>
      <sheetName val="KHOILUONG"/>
      <sheetName val="DONGIA"/>
      <sheetName val="CPKSTK"/>
      <sheetName val="THIETBI"/>
      <sheetName val="VC1"/>
      <sheetName val="VC2"/>
      <sheetName val="VC3"/>
      <sheetName val="VC4"/>
      <sheetName val="VC5"/>
      <sheetName val="BaoCao"/>
      <sheetName val="TT"/>
      <sheetName val="CO SO DU LIEU PTVL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Cau 2(3)"/>
      <sheetName val="00000005"/>
      <sheetName val="00000006"/>
      <sheetName val="HTSD6LD"/>
      <sheetName val="HTSDDNN"/>
      <sheetName val="HTSDKT"/>
      <sheetName val="BD"/>
      <sheetName val="HTNT"/>
      <sheetName val="CHART"/>
      <sheetName val="HTDT"/>
      <sheetName val="HTSDD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  <sheetName val="BHYT Q4-2003"/>
      <sheetName val="PXuat"/>
      <sheetName val="THVT.T5"/>
      <sheetName val="XL1.t5"/>
      <sheetName val="XL2.T5"/>
      <sheetName val="XL3.T5"/>
      <sheetName val="XL5.T5"/>
      <sheetName val="TH du toan "/>
      <sheetName val="Du toan "/>
      <sheetName val="C.Tinh"/>
      <sheetName val="TK_cap"/>
      <sheetName val="KH 200³ (moi max)"/>
      <sheetName val="C47T11"/>
      <sheetName val="C45T11"/>
      <sheetName val="C45 T10"/>
      <sheetName val="C47-t10"/>
      <sheetName val="Outlets"/>
      <sheetName val="PGs"/>
      <sheetName val="PIPE-03E.XLS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VËt liÖu"/>
      <sheetName val="THVL"/>
      <sheetName val="K_L­¬ng "/>
      <sheetName val="GTDT "/>
      <sheetName val="Bï VL "/>
      <sheetName val="Tæng Hîp"/>
      <sheetName val="Kinh PhÝ"/>
      <sheetName val="T kÕ"/>
      <sheetName val="chiettinhkenh"/>
      <sheetName val="tÝnh VL"/>
      <sheetName val="thuyetminh"/>
      <sheetName val="KL ®Ëp"/>
      <sheetName val="Lµng Lµ"/>
      <sheetName val="TIEN"/>
      <sheetName val="PHUONG"/>
      <sheetName val="ANH"/>
      <sheetName val="HUYNH"/>
      <sheetName val="TONKHO"/>
      <sheetName val="BANLE"/>
      <sheetName val="NHAPKHO"/>
      <sheetName val="DTCT"/>
      <sheetName val="THVT"/>
      <sheetName val="THGT"/>
      <sheetName val="N1111"/>
      <sheetName val="C1111"/>
      <sheetName val="1121"/>
      <sheetName val="daura"/>
      <sheetName val="dauvao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BKE CT GOC"/>
      <sheetName val="BK-CT"/>
      <sheetName val="CTGS10"/>
      <sheetName val="BKE CT GOC (2)"/>
      <sheetName val="CTGS10 (2)"/>
      <sheetName val="bANG THANH TOAN LUONG SC"/>
      <sheetName val="DON GIA TIEN LUONG SXCB"/>
      <sheetName val="bang ke luong sc"/>
      <sheetName val="DICH VU"/>
      <sheetName val="BD LE TET"/>
      <sheetName val="BANG THANH TOAN LUONG TO SO CHE"/>
      <sheetName val="BANG TONG HOP LUONG SP"/>
      <sheetName val="Bang ke tien luong O phong"/>
      <sheetName val="bang ke luong SP"/>
      <sheetName val="tam ung luong ky I"/>
      <sheetName val="bao cao BHXH 6 thang"/>
      <sheetName val="THKL37"/>
      <sheetName val="Cong37"/>
      <sheetName val="VTCY37"/>
      <sheetName val="CLVL37"/>
      <sheetName val="QTC37"/>
      <sheetName val="THKL.H9"/>
      <sheetName val="CongH9"/>
      <sheetName val="VTCYH9"/>
      <sheetName val="CLVTH9"/>
      <sheetName val="QTC9"/>
      <sheetName val="BTCPLT"/>
      <sheetName val="GVL1134"/>
      <sheetName val="BGDHT"/>
      <sheetName val="CongH4"/>
      <sheetName val="THKL.H4"/>
      <sheetName val="VTCYH4"/>
      <sheetName val="CLVLH4"/>
      <sheetName val="QTCCH4"/>
      <sheetName val="Cong13"/>
      <sheetName val="THKL13"/>
      <sheetName val="VTCY13"/>
      <sheetName val="CLVL13"/>
      <sheetName val="QTC13"/>
      <sheetName val="THKLA10"/>
      <sheetName val="CongA10"/>
      <sheetName val="Hat 1"/>
      <sheetName val="H9Bson"/>
      <sheetName val=" H8 duong"/>
      <sheetName val="VP"/>
      <sheetName val="Hat 7dg"/>
      <sheetName val="TH duong 1B"/>
      <sheetName val="TH cau 1B"/>
      <sheetName val="cauH9"/>
      <sheetName val="cauH7"/>
      <sheetName val="cau H1"/>
      <sheetName val="Clech"/>
      <sheetName val="CPVL"/>
      <sheetName val="Son dg"/>
      <sheetName val="h"/>
      <sheetName val="VTCYA10"/>
      <sheetName val="CLVLA10"/>
      <sheetName val="QTA10"/>
      <sheetName val="THKL1"/>
      <sheetName val="Cong1"/>
      <sheetName val="VTCY1"/>
      <sheetName val="CLVL1"/>
      <sheetName val="QTCC1"/>
      <sheetName val="B01b"/>
      <sheetName val="B01a"/>
      <sheetName val="B03a"/>
      <sheetName val="B03b"/>
      <sheetName val="B5"/>
      <sheetName val="B8,1"/>
      <sheetName val="B6b"/>
      <sheetName val="B4a"/>
      <sheetName val="B4b"/>
      <sheetName val="Van chtyen"/>
      <sheetName val="DS dang ky thi dua 2005"/>
      <sheetName val="DS khen thuong2004"/>
      <sheetName val="quy bao lu 05"/>
      <sheetName val="VT co phuong"/>
      <sheetName val="Da hai"/>
      <sheetName val="VT A ma"/>
      <sheetName val="VT van ho"/>
      <sheetName val="Son A Ma"/>
      <sheetName val="Son Co Ph"/>
      <sheetName val="Mau giao"/>
      <sheetName val="Tuan"/>
      <sheetName val="TT TH"/>
      <sheetName val="vat lieu tan hoat"/>
      <sheetName val="KL tonࡧ"/>
      <sheetName val="KTCB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11"/>
      <sheetName val="THop"/>
      <sheetName val="huy dong von"/>
      <sheetName val="Lai vayxd"/>
      <sheetName val="Lai vayphaitra"/>
      <sheetName val="Lai vay "/>
      <sheetName val="tra von"/>
      <sheetName val="KH chi tiet"/>
      <sheetName val="nguyen lieu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toan"/>
      <sheetName val="congtac vien-uy"/>
      <sheetName val="Nhan luc2001"/>
      <sheetName val="Vattu2"/>
      <sheetName val="Vattu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THGTXL"/>
      <sheetName val="Kenh"/>
      <sheetName val="BVCkenh"/>
      <sheetName val="THKenh"/>
      <sheetName val="congn140"/>
      <sheetName val="BVCc40"/>
      <sheetName val="cong30"/>
      <sheetName val="BVCcong30"/>
      <sheetName val="congQD"/>
      <sheetName val="BVCCQD"/>
      <sheetName val="tran"/>
      <sheetName val="Bvctran"/>
      <sheetName val="PXL+TB"/>
      <sheetName val="TK331B"/>
      <sheetName val="Ca.D"/>
      <sheetName val="Congt}"/>
      <sheetName val="bang ke nop`thue"/>
      <sheetName val="NAM 2004"/>
      <sheetName val="TK 911"/>
      <sheetName val=""/>
      <sheetName val="SILICATE"/>
      <sheetName val="Tong hop kinh phi"/>
      <sheetName val="QT Duoc (Hai)"/>
      <sheetName val="Cua"/>
      <sheetName val="NS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.Thu"/>
      <sheetName val="T.Coc"/>
      <sheetName val="D.Nghia"/>
      <sheetName val="TT.DH"/>
      <sheetName val="P.Phu"/>
      <sheetName val="P.Lai"/>
      <sheetName val="N.Xuyen"/>
      <sheetName val="H.quan"/>
      <sheetName val="S.Dang"/>
      <sheetName val="N.Quan"/>
      <sheetName val="C.Dam"/>
      <sheetName val="B.luan"/>
      <sheetName val="M.Luong"/>
      <sheetName val="B.Doan"/>
      <sheetName val="H.Do"/>
      <sheetName val="D.Khe"/>
      <sheetName val="P.Trung"/>
      <sheetName val="V.du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 341vay dai han "/>
      <sheetName val="TK 214"/>
      <sheetName val="TK 212"/>
      <sheetName val="Chi tiet TK 211"/>
      <sheetName val="TK 211"/>
      <sheetName val="TK 154"/>
      <sheetName val="Chi tiet TK 152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CTTSCD"/>
      <sheetName val="TSCD ko dung"/>
      <sheetName val="Tong vat tu"/>
      <sheetName val="VT luu"/>
      <sheetName val="VTu1"/>
      <sheetName val="Vtu u dong"/>
      <sheetName val="TSLD khac"/>
      <sheetName val="CC da pbo het"/>
      <sheetName val="Phaitra"/>
      <sheetName val="TD_x0000_"/>
      <sheetName val="TDÕ"/>
      <sheetName val="CQuan"/>
      <sheetName val="CAU 1"/>
      <sheetName val="CAU3"/>
      <sheetName val="CAU5 A Thu"/>
      <sheetName val="yen lenh"/>
      <sheetName val="CAU5"/>
      <sheetName val="CAU5 (1+2)"/>
      <sheetName val="CAU 7 (O Hien)"/>
      <sheetName val="CAU 7"/>
      <sheetName val="CKCT"/>
      <sheetName val="TCCG ( NH)"/>
      <sheetName val="TCCG"/>
      <sheetName val="Cau 9"/>
      <sheetName val="Cau 11"/>
      <sheetName val="480"/>
      <sheetName val="TD@"/>
      <sheetName val="T12"/>
      <sheetName val="T11"/>
      <sheetName val="pt0-1"/>
      <sheetName val="kp0-1"/>
      <sheetName val="0-1"/>
      <sheetName val="pt2-3"/>
      <sheetName val="thkp2-3"/>
      <sheetName val="2-3"/>
      <sheetName val="cl1-2"/>
      <sheetName val="thkp1-2"/>
      <sheetName val="clvl1-2"/>
      <sheetName val="1-2"/>
      <sheetName val="CT 03"/>
      <sheetName val="TH 03"/>
      <sheetName val="\MGT-DRT\MGT-IMPR\MGT-SC@\BA039"/>
      <sheetName val="Cong hoþ"/>
      <sheetName val="28+!60-28+420.5K95"/>
      <sheetName val="Thi sinh"/>
      <sheetName val="SPS"/>
      <sheetName val="DSNV"/>
      <sheetName val="Cham cong"/>
      <sheetName val="Bang luong"/>
      <sheetName val="LCB"/>
      <sheetName val="CN131"/>
      <sheetName val="STH 152"/>
      <sheetName val="CN 331"/>
      <sheetName val="VLSPHH"/>
      <sheetName val="DVKH"/>
      <sheetName val="Kho"/>
      <sheetName val="THDN MBA phu tai"/>
      <sheetName val="TBA CC"/>
      <sheetName val="D.Da0"/>
      <sheetName val="B9_SCL (2)"/>
      <sheetName val="T-9"/>
      <sheetName val="Thang 7-05"/>
      <sheetName val="Bia dvi"/>
      <sheetName val="B3_Tonghop thang"/>
      <sheetName val="B4_TTG"/>
      <sheetName val="B7_TaiNan"/>
      <sheetName val="B8_DongDien"/>
      <sheetName val="B9_SCL"/>
      <sheetName val="B10_SCTX"/>
      <sheetName val="B11_XTM"/>
      <sheetName val="B12_TBDC"/>
      <sheetName val="B13_LanKT"/>
      <sheetName val="BB NT GD H-thanh"/>
      <sheetName val="BB NT KL"/>
      <sheetName val="Goi2"/>
      <sheetName val="THpp"/>
      <sheetName val="pp"/>
      <sheetName val="CL PP"/>
      <sheetName val="TH DgPP"/>
      <sheetName val="Dg PP"/>
      <sheetName val="CL DgPP"/>
      <sheetName val="TH DDau"/>
      <sheetName val="DDau"/>
      <sheetName val="GT3PP"/>
      <sheetName val="CLDD"/>
      <sheetName val="GT3DD"/>
      <sheetName val="TH DVu"/>
      <sheetName val="Dichvu"/>
      <sheetName val="CL Dvu"/>
      <sheetName val="TH DgDvu"/>
      <sheetName val="Dg DV"/>
      <sheetName val="PTDdv"/>
      <sheetName val="CLDdv"/>
      <sheetName val="GT3DV"/>
      <sheetName val="TH-CO"/>
      <sheetName val="C.O"/>
      <sheetName val="TH dg OC"/>
      <sheetName val="DCO"/>
      <sheetName val="CL CatOng"/>
      <sheetName val="Bang qui cach Vtu"/>
      <sheetName val="T01"/>
      <sheetName val="T04"/>
      <sheetName val="DTcojg 4-5"/>
      <sheetName val="Tojg hop thep"/>
      <sheetName val="Phan tich don gia (doc)"/>
      <sheetName val="soi tho soi det"/>
      <sheetName val="soi thuong"/>
      <sheetName val="ni"/>
      <sheetName val="vai det"/>
      <sheetName val="chi phi 1tan"/>
      <sheetName val="von luu dong"/>
      <sheetName val="thue VAT"/>
      <sheetName val="doanh thu"/>
      <sheetName val="doanh thu loi nhuan"/>
      <sheetName val="dong tien"/>
      <sheetName val="thu hoi von"/>
      <sheetName val="hoan von"/>
      <sheetName val="dothi npv"/>
      <sheetName val="diem hoa von"/>
      <sheetName val="nop ngan sach"/>
      <sheetName val="chi tieu"/>
      <sheetName val="luong thang 10"/>
      <sheetName val="tong hop thang 10"/>
      <sheetName val="loung11"/>
      <sheetName val="TH 11"/>
      <sheetName val="T122"/>
      <sheetName val="T121"/>
      <sheetName val="px khai thac 2"/>
      <sheetName val="dao lo so 2"/>
      <sheetName val="luong vp thang 10"/>
      <sheetName val="T_x0003__x0000_ong dip nhan danh hieu AHL§"/>
      <sheetName val="26+960-27+050.9"/>
      <sheetName val="\N\MGT-DRT\MGT-IMPR\MGT-SC@\BA0"/>
      <sheetName val="Chung tu"/>
      <sheetName val="So cai"/>
      <sheetName val="Can doi"/>
      <sheetName val="Phat sinh"/>
      <sheetName val="MLDV"/>
      <sheetName val="catongcu"/>
      <sheetName val="BC"/>
      <sheetName val="NNCONGNHAN"/>
      <sheetName val="bangtonghop"/>
      <sheetName val="B T HOP"/>
      <sheetName val="HT HE DUONG"/>
      <sheetName val="MLPP"/>
      <sheetName val="DH D1,2"/>
      <sheetName val="Tro giup"/>
      <sheetName val="XXXXXXX_x0018_"/>
      <sheetName val="UBi"/>
      <sheetName val="0_x0000_Ԁ_x0000_가"/>
      <sheetName val="_MGT-DRT_MGT-IMPR_MGT-SC@_BA039"/>
      <sheetName val="T_x0003_"/>
      <sheetName val="_N_MGT-DRT_MGT-IMPR_MGT-SC@_BA0"/>
      <sheetName val="2ÿÿ960-ÿÿ+1ÿÿÿÿ(k95)"/>
      <sheetName val="_PIPE-03E.XLSÝ26+960-27+150.4(k"/>
      <sheetName val="Tong hop gia"/>
      <sheetName val="May thi cong"/>
      <sheetName val="Chi phi chung"/>
      <sheetName val="Config"/>
      <sheetName val="_x0002__x0001_"/>
      <sheetName val="ten"/>
      <sheetName val="nphuo"/>
      <sheetName val="28+160-&quot;8+420,17Top"/>
      <sheetName val="KHo152"/>
      <sheetName val="Kho153"/>
      <sheetName val="@.Dap"/>
      <sheetName val="LUU"/>
      <sheetName val="BAONO"/>
      <sheetName val="BAONOCHUAXONG"/>
      <sheetName val="PHI"/>
      <sheetName val="Muavao6"/>
      <sheetName val="Muavao7"/>
      <sheetName val="DMCP"/>
      <sheetName val="MD03-4"/>
      <sheetName val="XE DA("/>
      <sheetName val="khen thuong (2)"/>
      <sheetName val="khen thuong"/>
      <sheetName val="Thuong"/>
      <sheetName val="San luong"/>
      <sheetName val="Thu nhap"/>
      <sheetName val="DGCT1"/>
      <sheetName val="Tu van Thiet ke"/>
      <sheetName val="Tien do thi cong"/>
      <sheetName val="Bia du toan"/>
      <sheetName val="Aug-10(D)"/>
      <sheetName val="Data input"/>
      <sheetName val="Data"/>
      <sheetName val="Group"/>
      <sheetName val="Loading"/>
      <sheetName val="Cong n"/>
      <sheetName val="TDþ"/>
      <sheetName val="BU13-_x0003_"/>
      <sheetName val="gvl"/>
      <sheetName val="GDTL cong D40"/>
      <sheetName val="THKPcong D40"/>
      <sheetName val="GDTran gieng"/>
      <sheetName val="THKPtran gieng"/>
      <sheetName val="XD"/>
      <sheetName val="THDT (2)"/>
      <sheetName val="DB (2)"/>
      <sheetName val="THTke"/>
      <sheetName val="DGTLdap dat (3)"/>
      <sheetName val="TM Du toan"/>
      <sheetName val="THKP dap chinh (3)"/>
      <sheetName val="Cong doan"/>
      <sheetName val="A"/>
      <sheetName val="PTS䁌"/>
      <sheetName val="clv¸"/>
      <sheetName val="B01þ"/>
      <sheetName val="B-B"/>
      <sheetName val="[PIPE-03E.XLSÝ26+960-27+150.4(k"/>
      <sheetName val="_x0000__x0000__x0005__x0000_"/>
      <sheetName val="Cong n_x0000_"/>
      <sheetName val="BU13-_x0003__x0000_+"/>
      <sheetName val="JanÐ"/>
      <sheetName val="Don gia"/>
      <sheetName val="LD Kien"/>
      <sheetName val="QLoc"/>
      <sheetName val="TT Qlao"/>
      <sheetName val="Yen Bai"/>
      <sheetName val="Yen Giang"/>
      <sheetName val="Yen Hung"/>
      <sheetName val="Yen Lam"/>
      <sheetName val="Yen lac"/>
      <sheetName val="Yen Ninh"/>
      <sheetName val="Yen Phong"/>
      <sheetName val="Yen Phu"/>
      <sheetName val="Yen thai"/>
      <sheetName val="Yen Thinh"/>
      <sheetName val="Yen Tho"/>
      <sheetName val="Yen Trung"/>
      <sheetName val="Yen Truong"/>
      <sheetName val="Yen Tam"/>
      <sheetName val="Dinh Binh"/>
      <sheetName val="Dinh Cong"/>
      <sheetName val="Dinh Hoa"/>
      <sheetName val=" Dinh Hung"/>
      <sheetName val="Dinh Hai"/>
      <sheetName val="Dinh Lien"/>
      <sheetName val="Dinh Long"/>
      <sheetName val="Dinh Thanh"/>
      <sheetName val="Dinh Tien"/>
      <sheetName val="Dinh Tang"/>
      <sheetName val="Dinh Tan"/>
      <sheetName val="THPT Thong Nhat"/>
      <sheetName val="Dinh Tuong"/>
      <sheetName val="TTBDChinh Tri"/>
      <sheetName val="Phong GD"/>
      <sheetName val="Khoi Mam Non"/>
      <sheetName val="BT Van Hoa"/>
      <sheetName val="Day Nghe"/>
      <sheetName val="TH Q Loc 1"/>
      <sheetName val="Q lao"/>
      <sheetName val="T nhat"/>
      <sheetName val="Y bai"/>
      <sheetName val="Y giang"/>
      <sheetName val="Y hung"/>
      <sheetName val="Y lam"/>
      <sheetName val="Y lac"/>
      <sheetName val="Y ninh"/>
      <sheetName val="Y phong"/>
      <sheetName val="Y phu"/>
      <sheetName val="Y thai"/>
      <sheetName val="Y thinh"/>
      <sheetName val="Y tho"/>
      <sheetName val="Y trung"/>
      <sheetName val="Y truong"/>
      <sheetName val="Y tam"/>
      <sheetName val="Dbinh"/>
      <sheetName val="D cong"/>
      <sheetName val="D hoa"/>
      <sheetName val="Dhung"/>
      <sheetName val="D hai"/>
      <sheetName val="D lien"/>
      <sheetName val="D long"/>
      <sheetName val="D thanh"/>
      <sheetName val="D tien"/>
      <sheetName val="D tang"/>
      <sheetName val="D tan"/>
      <sheetName val="D tuong"/>
      <sheetName val="Q loc 2"/>
      <sheetName val="DT 05"/>
      <sheetName val="Quý 1"/>
      <sheetName val="Thang3"/>
      <sheetName val="Quý2"/>
      <sheetName val="Quy 3"/>
      <sheetName val="KPCĐ"/>
      <sheetName val="Nghiep vu"/>
      <sheetName val="T10-11"/>
      <sheetName val="Quý4"/>
    </sheetNames>
    <definedNames>
      <definedName name="DataFilter"/>
      <definedName name="DataSort"/>
      <definedName name="GoBack" sheetId="8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/>
      <sheetData sheetId="497"/>
      <sheetData sheetId="498"/>
      <sheetData sheetId="499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 refreshError="1"/>
      <sheetData sheetId="661" refreshError="1"/>
      <sheetData sheetId="662" refreshError="1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 refreshError="1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/>
      <sheetData sheetId="746"/>
      <sheetData sheetId="747"/>
      <sheetData sheetId="748"/>
      <sheetData sheetId="749"/>
      <sheetData sheetId="750"/>
      <sheetData sheetId="75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/>
      <sheetData sheetId="902"/>
      <sheetData sheetId="903"/>
      <sheetData sheetId="904"/>
      <sheetData sheetId="905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 refreshError="1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/>
      <sheetData sheetId="997"/>
      <sheetData sheetId="998"/>
      <sheetData sheetId="999"/>
      <sheetData sheetId="1000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/>
      <sheetData sheetId="1139"/>
      <sheetData sheetId="1140" refreshError="1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/>
      <sheetData sheetId="1244"/>
      <sheetData sheetId="1245"/>
      <sheetData sheetId="1246"/>
      <sheetData sheetId="1247"/>
      <sheetData sheetId="1248"/>
      <sheetData sheetId="1249"/>
      <sheetData sheetId="1250" refreshError="1"/>
      <sheetData sheetId="1251" refreshError="1"/>
      <sheetData sheetId="1252" refreshError="1"/>
      <sheetData sheetId="1253" refreshError="1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 refreshError="1"/>
      <sheetData sheetId="1265" refreshError="1"/>
      <sheetData sheetId="1266" refreshError="1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 refreshError="1"/>
      <sheetData sheetId="1288" refreshError="1"/>
      <sheetData sheetId="1289" refreshError="1"/>
      <sheetData sheetId="1290" refreshError="1"/>
      <sheetData sheetId="1291"/>
      <sheetData sheetId="1292"/>
      <sheetData sheetId="1293" refreshError="1"/>
      <sheetData sheetId="1294" refreshError="1"/>
      <sheetData sheetId="1295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 refreshError="1"/>
      <sheetData sheetId="1330" refreshError="1"/>
      <sheetData sheetId="1331" refreshError="1"/>
      <sheetData sheetId="1332"/>
      <sheetData sheetId="1333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/>
      <sheetData sheetId="1367"/>
      <sheetData sheetId="1368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t gso 2006-2010"/>
      <sheetName val="NSNNTPCP2006-2010 "/>
      <sheetName val="dt gso 2011-2015"/>
      <sheetName val="NSNNTPCP2011-2015"/>
      <sheetName val="NSNNTPCP5namgoc"/>
      <sheetName val="NSNN2006-2010"/>
      <sheetName val="TPCP2006-2010 "/>
      <sheetName val="TPCP2006-2010  (2)"/>
      <sheetName val="NSNN2011-2015"/>
      <sheetName val="TPCP2011-2015"/>
      <sheetName val="cc2006-2010"/>
      <sheetName val="NSNN2006-2010 (2)"/>
      <sheetName val="cc2011-2015"/>
      <sheetName val="cc2006-2010 (2)"/>
      <sheetName val="cc2006"/>
      <sheetName val="cc2011"/>
      <sheetName val="cc2010"/>
      <sheetName val="cc2009"/>
      <sheetName val="cc2008"/>
      <sheetName val="cc2007"/>
      <sheetName val="cocauDT(28-8-2011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4">
          <cell r="I14">
            <v>880</v>
          </cell>
        </row>
        <row r="15">
          <cell r="I15">
            <v>141425.55204045697</v>
          </cell>
        </row>
        <row r="32">
          <cell r="I32">
            <v>1.5110423605690986</v>
          </cell>
        </row>
        <row r="69">
          <cell r="I69">
            <v>21.011163782392615</v>
          </cell>
        </row>
        <row r="101">
          <cell r="I101">
            <v>22.872922995387761</v>
          </cell>
        </row>
        <row r="117">
          <cell r="I117">
            <v>1.1020520368010418</v>
          </cell>
        </row>
        <row r="126">
          <cell r="I126">
            <v>0.77747542149806792</v>
          </cell>
        </row>
        <row r="138">
          <cell r="I138">
            <v>3.9664645518173423</v>
          </cell>
        </row>
        <row r="153">
          <cell r="I153">
            <v>3.549358604281097</v>
          </cell>
        </row>
        <row r="162">
          <cell r="I162">
            <v>2.0889452077367694</v>
          </cell>
        </row>
        <row r="190">
          <cell r="I190">
            <v>17.562385044037015</v>
          </cell>
        </row>
        <row r="212">
          <cell r="I212">
            <v>5.6698187766706534</v>
          </cell>
        </row>
        <row r="236">
          <cell r="I236">
            <v>3.8617005006937859</v>
          </cell>
        </row>
        <row r="270">
          <cell r="I270">
            <v>2.7576199135928907</v>
          </cell>
        </row>
        <row r="275">
          <cell r="I275">
            <v>0.77022406136177246</v>
          </cell>
        </row>
        <row r="294">
          <cell r="I294">
            <v>7.9693765076273202</v>
          </cell>
        </row>
        <row r="302">
          <cell r="I302">
            <v>3.2779083645887823</v>
          </cell>
        </row>
        <row r="310">
          <cell r="I310">
            <v>1.2515418709439889</v>
          </cell>
        </row>
        <row r="311">
          <cell r="D311">
            <v>943</v>
          </cell>
          <cell r="E311">
            <v>889.56</v>
          </cell>
          <cell r="F311">
            <v>477</v>
          </cell>
          <cell r="G311">
            <v>191.2</v>
          </cell>
          <cell r="H311">
            <v>482.2</v>
          </cell>
          <cell r="I311">
            <v>494.5</v>
          </cell>
        </row>
      </sheetData>
      <sheetData sheetId="11"/>
      <sheetData sheetId="12"/>
      <sheetData sheetId="13"/>
      <sheetData sheetId="14">
        <row r="7">
          <cell r="C7">
            <v>100</v>
          </cell>
        </row>
        <row r="8">
          <cell r="C8">
            <v>20</v>
          </cell>
        </row>
        <row r="9">
          <cell r="C9">
            <v>300</v>
          </cell>
        </row>
        <row r="10">
          <cell r="C10">
            <v>2000</v>
          </cell>
        </row>
        <row r="11">
          <cell r="C11">
            <v>150</v>
          </cell>
        </row>
      </sheetData>
      <sheetData sheetId="15">
        <row r="5">
          <cell r="H5">
            <v>152000.05204045697</v>
          </cell>
        </row>
        <row r="6">
          <cell r="H6">
            <v>10080</v>
          </cell>
        </row>
        <row r="7">
          <cell r="H7">
            <v>180</v>
          </cell>
        </row>
        <row r="8">
          <cell r="H8">
            <v>200</v>
          </cell>
        </row>
        <row r="9">
          <cell r="H9">
            <v>4500</v>
          </cell>
        </row>
        <row r="10">
          <cell r="H10">
            <v>3500</v>
          </cell>
        </row>
        <row r="11">
          <cell r="H11">
            <v>820</v>
          </cell>
        </row>
        <row r="12">
          <cell r="H12">
            <v>880</v>
          </cell>
        </row>
      </sheetData>
      <sheetData sheetId="16">
        <row r="8">
          <cell r="H8">
            <v>200</v>
          </cell>
        </row>
        <row r="9">
          <cell r="H9">
            <v>200</v>
          </cell>
        </row>
        <row r="10">
          <cell r="H10">
            <v>3700</v>
          </cell>
        </row>
        <row r="11">
          <cell r="H11">
            <v>3500</v>
          </cell>
        </row>
        <row r="12">
          <cell r="H12">
            <v>300</v>
          </cell>
        </row>
        <row r="13">
          <cell r="H13">
            <v>800</v>
          </cell>
        </row>
        <row r="154">
          <cell r="C154">
            <v>5678.5351351351355</v>
          </cell>
        </row>
        <row r="170">
          <cell r="C170">
            <v>3495.6441235004659</v>
          </cell>
        </row>
        <row r="192">
          <cell r="H192">
            <v>3696.5592327232416</v>
          </cell>
        </row>
        <row r="211">
          <cell r="H211">
            <v>825.97475539029119</v>
          </cell>
        </row>
      </sheetData>
      <sheetData sheetId="17">
        <row r="8">
          <cell r="C8">
            <v>200</v>
          </cell>
        </row>
        <row r="9">
          <cell r="C9">
            <v>200</v>
          </cell>
        </row>
        <row r="10">
          <cell r="C10">
            <v>3700</v>
          </cell>
        </row>
        <row r="11">
          <cell r="C11">
            <v>4900</v>
          </cell>
        </row>
        <row r="12">
          <cell r="C12">
            <v>160</v>
          </cell>
        </row>
        <row r="13">
          <cell r="C13">
            <v>800</v>
          </cell>
        </row>
      </sheetData>
      <sheetData sheetId="18">
        <row r="8">
          <cell r="C8">
            <v>200</v>
          </cell>
        </row>
        <row r="9">
          <cell r="C9">
            <v>200</v>
          </cell>
        </row>
        <row r="10">
          <cell r="C10">
            <v>2300</v>
          </cell>
        </row>
        <row r="11">
          <cell r="C11">
            <v>120</v>
          </cell>
        </row>
        <row r="12">
          <cell r="C12">
            <v>600</v>
          </cell>
        </row>
      </sheetData>
      <sheetData sheetId="19">
        <row r="8">
          <cell r="C8">
            <v>220</v>
          </cell>
        </row>
        <row r="9">
          <cell r="C9">
            <v>200</v>
          </cell>
        </row>
        <row r="10">
          <cell r="C10">
            <v>2500</v>
          </cell>
        </row>
        <row r="12">
          <cell r="C12">
            <v>1000</v>
          </cell>
        </row>
        <row r="13">
          <cell r="C13">
            <v>100</v>
          </cell>
        </row>
        <row r="244">
          <cell r="C244">
            <v>207</v>
          </cell>
        </row>
      </sheetData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ieu TH"/>
      <sheetName val="Phan tich thep"/>
      <sheetName val="VĐT"/>
      <sheetName val="Bieu TH - khong thep"/>
      <sheetName val="Phan tich thep (2)"/>
    </sheetNames>
    <sheetDataSet>
      <sheetData sheetId="0"/>
      <sheetData sheetId="1"/>
      <sheetData sheetId="2">
        <row r="7">
          <cell r="F7">
            <v>7472.9769999999999</v>
          </cell>
          <cell r="G7">
            <v>7500</v>
          </cell>
          <cell r="H7">
            <v>8000</v>
          </cell>
          <cell r="I7">
            <v>8000</v>
          </cell>
          <cell r="J7">
            <v>8000</v>
          </cell>
          <cell r="K7">
            <v>8000</v>
          </cell>
        </row>
        <row r="8">
          <cell r="F8">
            <v>14030.24</v>
          </cell>
          <cell r="G8">
            <v>20943</v>
          </cell>
          <cell r="H8">
            <v>22917.82</v>
          </cell>
          <cell r="I8">
            <v>23181</v>
          </cell>
          <cell r="J8">
            <v>25049</v>
          </cell>
          <cell r="K8">
            <v>27964</v>
          </cell>
        </row>
        <row r="43">
          <cell r="F43">
            <v>16717.1908</v>
          </cell>
          <cell r="G43">
            <v>35259.89</v>
          </cell>
          <cell r="H43">
            <v>44650</v>
          </cell>
          <cell r="I43">
            <v>47200</v>
          </cell>
          <cell r="J43">
            <v>25960</v>
          </cell>
          <cell r="K43">
            <v>21285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workbookViewId="0">
      <selection activeCell="J43" sqref="J43"/>
    </sheetView>
  </sheetViews>
  <sheetFormatPr defaultRowHeight="12.75"/>
  <cols>
    <col min="1" max="1" width="5.140625" style="38" customWidth="1"/>
    <col min="2" max="2" width="43.140625" style="38" customWidth="1"/>
    <col min="3" max="3" width="11.85546875" style="38" customWidth="1"/>
    <col min="4" max="4" width="15.140625" style="40" customWidth="1"/>
    <col min="5" max="5" width="10.85546875" style="40" hidden="1" customWidth="1"/>
    <col min="6" max="7" width="10.85546875" style="38" hidden="1" customWidth="1"/>
    <col min="8" max="8" width="12.140625" style="38" hidden="1" customWidth="1"/>
    <col min="9" max="9" width="20.42578125" style="38" customWidth="1"/>
    <col min="10" max="10" width="15.140625" style="38" customWidth="1"/>
    <col min="11" max="11" width="14.85546875" style="38" customWidth="1"/>
    <col min="12" max="12" width="16.85546875" style="38" customWidth="1"/>
    <col min="13" max="16384" width="9.140625" style="38"/>
  </cols>
  <sheetData>
    <row r="1" spans="1:12" ht="36" customHeight="1">
      <c r="A1" s="628" t="s">
        <v>128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</row>
    <row r="2" spans="1:12" ht="27.75" customHeight="1">
      <c r="A2" s="629" t="s">
        <v>98</v>
      </c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29"/>
    </row>
    <row r="3" spans="1:12" ht="13.5" thickBot="1">
      <c r="A3" s="56"/>
      <c r="B3" s="56"/>
      <c r="C3" s="56"/>
      <c r="D3" s="57"/>
      <c r="E3" s="57"/>
      <c r="F3" s="39"/>
      <c r="G3" s="39"/>
      <c r="H3" s="39"/>
      <c r="I3" s="57"/>
      <c r="J3" s="56"/>
      <c r="K3" s="56"/>
      <c r="L3" s="56"/>
    </row>
    <row r="4" spans="1:12" s="44" customFormat="1" ht="32.450000000000003" customHeight="1" thickTop="1">
      <c r="A4" s="623" t="s">
        <v>0</v>
      </c>
      <c r="B4" s="623" t="s">
        <v>17</v>
      </c>
      <c r="C4" s="623" t="s">
        <v>18</v>
      </c>
      <c r="D4" s="625" t="s">
        <v>19</v>
      </c>
      <c r="E4" s="625" t="s">
        <v>96</v>
      </c>
      <c r="F4" s="625" t="s">
        <v>20</v>
      </c>
      <c r="G4" s="625" t="s">
        <v>21</v>
      </c>
      <c r="H4" s="625" t="s">
        <v>22</v>
      </c>
      <c r="I4" s="625" t="s">
        <v>122</v>
      </c>
      <c r="J4" s="621" t="s">
        <v>93</v>
      </c>
      <c r="K4" s="622"/>
      <c r="L4" s="623" t="s">
        <v>23</v>
      </c>
    </row>
    <row r="5" spans="1:12" s="44" customFormat="1" ht="21" customHeight="1">
      <c r="A5" s="624"/>
      <c r="B5" s="624"/>
      <c r="C5" s="624"/>
      <c r="D5" s="626"/>
      <c r="E5" s="626"/>
      <c r="F5" s="626"/>
      <c r="G5" s="626"/>
      <c r="H5" s="626"/>
      <c r="I5" s="626"/>
      <c r="J5" s="58">
        <v>2009</v>
      </c>
      <c r="K5" s="58">
        <v>2010</v>
      </c>
      <c r="L5" s="624"/>
    </row>
    <row r="6" spans="1:12" s="44" customFormat="1" ht="30" customHeight="1">
      <c r="A6" s="45" t="s">
        <v>24</v>
      </c>
      <c r="B6" s="46" t="s">
        <v>25</v>
      </c>
      <c r="C6" s="45"/>
      <c r="D6" s="47"/>
      <c r="E6" s="47"/>
      <c r="F6" s="45"/>
      <c r="G6" s="45"/>
      <c r="H6" s="45">
        <v>6.2</v>
      </c>
      <c r="I6" s="45"/>
      <c r="J6" s="45"/>
      <c r="K6" s="45"/>
      <c r="L6" s="45"/>
    </row>
    <row r="7" spans="1:12" s="44" customFormat="1" ht="48.6" customHeight="1">
      <c r="A7" s="48">
        <v>1</v>
      </c>
      <c r="B7" s="49" t="s">
        <v>26</v>
      </c>
      <c r="C7" s="48" t="s">
        <v>5</v>
      </c>
      <c r="D7" s="50" t="s">
        <v>27</v>
      </c>
      <c r="E7" s="64" t="e">
        <f>#REF!</f>
        <v>#REF!</v>
      </c>
      <c r="F7" s="64" t="e">
        <f>#REF!</f>
        <v>#REF!</v>
      </c>
      <c r="G7" s="64" t="e">
        <f>#REF!</f>
        <v>#REF!</v>
      </c>
      <c r="H7" s="64" t="e">
        <f>#REF!</f>
        <v>#REF!</v>
      </c>
      <c r="I7" s="68" t="e">
        <f>#REF!</f>
        <v>#REF!</v>
      </c>
      <c r="J7" s="51" t="e">
        <f>#REF!</f>
        <v>#REF!</v>
      </c>
      <c r="K7" s="51">
        <v>7</v>
      </c>
      <c r="L7" s="48" t="s">
        <v>124</v>
      </c>
    </row>
    <row r="8" spans="1:12" s="44" customFormat="1" ht="36" customHeight="1">
      <c r="A8" s="48">
        <v>2</v>
      </c>
      <c r="B8" s="49" t="s">
        <v>29</v>
      </c>
      <c r="C8" s="48" t="s">
        <v>30</v>
      </c>
      <c r="D8" s="50" t="s">
        <v>31</v>
      </c>
      <c r="E8" s="50"/>
      <c r="F8" s="52">
        <v>425373</v>
      </c>
      <c r="G8" s="52">
        <v>461443</v>
      </c>
      <c r="H8" s="48" t="s">
        <v>32</v>
      </c>
      <c r="I8" s="48" t="s">
        <v>94</v>
      </c>
      <c r="J8" s="52" t="s">
        <v>95</v>
      </c>
      <c r="K8" s="52" t="s">
        <v>125</v>
      </c>
      <c r="L8" s="48" t="s">
        <v>28</v>
      </c>
    </row>
    <row r="9" spans="1:12" s="44" customFormat="1" ht="25.35" customHeight="1">
      <c r="A9" s="48">
        <v>3</v>
      </c>
      <c r="B9" s="49" t="s">
        <v>33</v>
      </c>
      <c r="C9" s="48" t="s">
        <v>10</v>
      </c>
      <c r="D9" s="50" t="e">
        <f>#REF!</f>
        <v>#REF!</v>
      </c>
      <c r="E9" s="50" t="e">
        <f>#REF!</f>
        <v>#REF!</v>
      </c>
      <c r="F9" s="50" t="e">
        <f>#REF!</f>
        <v>#REF!</v>
      </c>
      <c r="G9" s="50" t="e">
        <f>#REF!</f>
        <v>#REF!</v>
      </c>
      <c r="H9" s="50" t="e">
        <f>#REF!</f>
        <v>#REF!</v>
      </c>
      <c r="I9" s="50" t="e">
        <f>#REF!</f>
        <v>#REF!</v>
      </c>
      <c r="J9" s="52" t="e">
        <f>#REF!</f>
        <v>#REF!</v>
      </c>
      <c r="K9" s="52">
        <v>1380</v>
      </c>
      <c r="L9" s="48" t="s">
        <v>76</v>
      </c>
    </row>
    <row r="10" spans="1:12" s="44" customFormat="1" ht="25.35" customHeight="1">
      <c r="A10" s="48">
        <v>4</v>
      </c>
      <c r="B10" s="49" t="s">
        <v>35</v>
      </c>
      <c r="C10" s="48" t="s">
        <v>5</v>
      </c>
      <c r="D10" s="50" t="e">
        <f>#REF!</f>
        <v>#REF!</v>
      </c>
      <c r="E10" s="50" t="e">
        <f>#REF!</f>
        <v>#REF!</v>
      </c>
      <c r="F10" s="50" t="e">
        <f>#REF!</f>
        <v>#REF!</v>
      </c>
      <c r="G10" s="50" t="e">
        <f>#REF!</f>
        <v>#REF!</v>
      </c>
      <c r="H10" s="50" t="e">
        <f>#REF!</f>
        <v>#REF!</v>
      </c>
      <c r="I10" s="66" t="e">
        <f>#REF!</f>
        <v>#REF!</v>
      </c>
      <c r="J10" s="51" t="e">
        <f>#REF!</f>
        <v>#REF!</v>
      </c>
      <c r="K10" s="51">
        <v>3.5</v>
      </c>
      <c r="L10" s="48" t="s">
        <v>76</v>
      </c>
    </row>
    <row r="11" spans="1:12" s="44" customFormat="1" ht="25.35" customHeight="1">
      <c r="A11" s="48">
        <v>5</v>
      </c>
      <c r="B11" s="49" t="s">
        <v>36</v>
      </c>
      <c r="C11" s="48" t="s">
        <v>5</v>
      </c>
      <c r="D11" s="50" t="e">
        <f>#REF!</f>
        <v>#REF!</v>
      </c>
      <c r="E11" s="50" t="e">
        <f>#REF!</f>
        <v>#REF!</v>
      </c>
      <c r="F11" s="50" t="e">
        <f>#REF!</f>
        <v>#REF!</v>
      </c>
      <c r="G11" s="50" t="e">
        <f>#REF!</f>
        <v>#REF!</v>
      </c>
      <c r="H11" s="50" t="e">
        <f>#REF!</f>
        <v>#REF!</v>
      </c>
      <c r="I11" s="66" t="e">
        <f>#REF!</f>
        <v>#REF!</v>
      </c>
      <c r="J11" s="51" t="e">
        <f>#REF!</f>
        <v>#REF!</v>
      </c>
      <c r="K11" s="51">
        <v>8</v>
      </c>
      <c r="L11" s="48" t="s">
        <v>124</v>
      </c>
    </row>
    <row r="12" spans="1:12" s="44" customFormat="1" ht="25.35" customHeight="1">
      <c r="A12" s="48">
        <v>6</v>
      </c>
      <c r="B12" s="49" t="s">
        <v>37</v>
      </c>
      <c r="C12" s="48" t="s">
        <v>5</v>
      </c>
      <c r="D12" s="50" t="e">
        <f>#REF!</f>
        <v>#REF!</v>
      </c>
      <c r="E12" s="50" t="e">
        <f>#REF!</f>
        <v>#REF!</v>
      </c>
      <c r="F12" s="50" t="e">
        <f>#REF!</f>
        <v>#REF!</v>
      </c>
      <c r="G12" s="50" t="e">
        <f>#REF!</f>
        <v>#REF!</v>
      </c>
      <c r="H12" s="50" t="e">
        <f>#REF!</f>
        <v>#REF!</v>
      </c>
      <c r="I12" s="66" t="e">
        <f>#REF!</f>
        <v>#REF!</v>
      </c>
      <c r="J12" s="51" t="e">
        <f>#REF!</f>
        <v>#REF!</v>
      </c>
      <c r="K12" s="48">
        <v>7.8</v>
      </c>
      <c r="L12" s="48" t="s">
        <v>34</v>
      </c>
    </row>
    <row r="13" spans="1:12" s="44" customFormat="1" ht="25.35" customHeight="1">
      <c r="A13" s="48">
        <v>7</v>
      </c>
      <c r="B13" s="49" t="s">
        <v>38</v>
      </c>
      <c r="C13" s="48"/>
      <c r="D13" s="50"/>
      <c r="E13" s="50"/>
      <c r="F13" s="48"/>
      <c r="G13" s="48"/>
      <c r="H13" s="48"/>
      <c r="I13" s="48"/>
      <c r="J13" s="48"/>
      <c r="K13" s="48"/>
      <c r="L13" s="48"/>
    </row>
    <row r="14" spans="1:12" s="44" customFormat="1" ht="25.35" customHeight="1">
      <c r="A14" s="48"/>
      <c r="B14" s="49" t="s">
        <v>39</v>
      </c>
      <c r="C14" s="48" t="s">
        <v>5</v>
      </c>
      <c r="D14" s="50" t="e">
        <f>#REF!</f>
        <v>#REF!</v>
      </c>
      <c r="E14" s="50" t="e">
        <f>#REF!</f>
        <v>#REF!</v>
      </c>
      <c r="F14" s="50" t="e">
        <f>#REF!</f>
        <v>#REF!</v>
      </c>
      <c r="G14" s="50" t="e">
        <f>#REF!</f>
        <v>#REF!</v>
      </c>
      <c r="H14" s="50" t="e">
        <f>#REF!</f>
        <v>#REF!</v>
      </c>
      <c r="I14" s="50" t="e">
        <f>#REF!</f>
        <v>#REF!</v>
      </c>
      <c r="J14" s="124" t="e">
        <f>#REF!</f>
        <v>#REF!</v>
      </c>
      <c r="K14" s="48">
        <v>20</v>
      </c>
      <c r="L14" s="48" t="s">
        <v>40</v>
      </c>
    </row>
    <row r="15" spans="1:12" s="44" customFormat="1" ht="25.35" customHeight="1">
      <c r="A15" s="48"/>
      <c r="B15" s="49" t="s">
        <v>41</v>
      </c>
      <c r="C15" s="48" t="s">
        <v>5</v>
      </c>
      <c r="D15" s="50" t="e">
        <f>#REF!</f>
        <v>#REF!</v>
      </c>
      <c r="E15" s="50" t="e">
        <f>#REF!</f>
        <v>#REF!</v>
      </c>
      <c r="F15" s="50" t="e">
        <f>#REF!</f>
        <v>#REF!</v>
      </c>
      <c r="G15" s="50" t="e">
        <f>#REF!</f>
        <v>#REF!</v>
      </c>
      <c r="H15" s="50" t="e">
        <f>#REF!</f>
        <v>#REF!</v>
      </c>
      <c r="I15" s="50" t="e">
        <f>#REF!</f>
        <v>#REF!</v>
      </c>
      <c r="J15" s="124" t="e">
        <f>#REF!</f>
        <v>#REF!</v>
      </c>
      <c r="K15" s="48">
        <v>40.799999999999997</v>
      </c>
      <c r="L15" s="48" t="s">
        <v>40</v>
      </c>
    </row>
    <row r="16" spans="1:12" s="44" customFormat="1" ht="25.35" customHeight="1">
      <c r="A16" s="48"/>
      <c r="B16" s="49" t="s">
        <v>42</v>
      </c>
      <c r="C16" s="48" t="s">
        <v>5</v>
      </c>
      <c r="D16" s="50" t="e">
        <f>#REF!</f>
        <v>#REF!</v>
      </c>
      <c r="E16" s="50" t="e">
        <f>#REF!</f>
        <v>#REF!</v>
      </c>
      <c r="F16" s="50" t="e">
        <f>#REF!</f>
        <v>#REF!</v>
      </c>
      <c r="G16" s="50" t="e">
        <f>#REF!</f>
        <v>#REF!</v>
      </c>
      <c r="H16" s="50" t="e">
        <f>#REF!</f>
        <v>#REF!</v>
      </c>
      <c r="I16" s="50" t="e">
        <f>#REF!</f>
        <v>#REF!</v>
      </c>
      <c r="J16" s="124" t="e">
        <f>#REF!</f>
        <v>#REF!</v>
      </c>
      <c r="K16" s="48">
        <v>40.5</v>
      </c>
      <c r="L16" s="48" t="s">
        <v>28</v>
      </c>
    </row>
    <row r="17" spans="1:15" s="44" customFormat="1" ht="32.450000000000003" customHeight="1">
      <c r="A17" s="48">
        <v>8</v>
      </c>
      <c r="B17" s="49" t="s">
        <v>43</v>
      </c>
      <c r="C17" s="48" t="s">
        <v>5</v>
      </c>
      <c r="D17" s="50" t="e">
        <f>#REF!</f>
        <v>#REF!</v>
      </c>
      <c r="E17" s="50" t="e">
        <f>#REF!</f>
        <v>#REF!</v>
      </c>
      <c r="F17" s="50" t="e">
        <f>#REF!</f>
        <v>#REF!</v>
      </c>
      <c r="G17" s="50" t="e">
        <f>#REF!</f>
        <v>#REF!</v>
      </c>
      <c r="H17" s="60" t="e">
        <f>#REF!</f>
        <v>#REF!</v>
      </c>
      <c r="I17" s="60" t="e">
        <f>#REF!</f>
        <v>#REF!</v>
      </c>
      <c r="J17" s="51" t="e">
        <f>#REF!</f>
        <v>#REF!</v>
      </c>
      <c r="K17" s="48">
        <v>20</v>
      </c>
      <c r="L17" s="48" t="s">
        <v>76</v>
      </c>
      <c r="O17" s="116"/>
    </row>
    <row r="18" spans="1:15" s="44" customFormat="1" ht="33.6" customHeight="1">
      <c r="A18" s="48">
        <v>9</v>
      </c>
      <c r="B18" s="49" t="s">
        <v>45</v>
      </c>
      <c r="C18" s="48" t="s">
        <v>5</v>
      </c>
      <c r="D18" s="50" t="e">
        <f>#REF!</f>
        <v>#REF!</v>
      </c>
      <c r="E18" s="50" t="e">
        <f>#REF!</f>
        <v>#REF!</v>
      </c>
      <c r="F18" s="50" t="e">
        <f>#REF!</f>
        <v>#REF!</v>
      </c>
      <c r="G18" s="50" t="e">
        <f>#REF!</f>
        <v>#REF!</v>
      </c>
      <c r="H18" s="50" t="e">
        <f>#REF!</f>
        <v>#REF!</v>
      </c>
      <c r="I18" s="50" t="e">
        <f>#REF!</f>
        <v>#REF!</v>
      </c>
      <c r="J18" s="48" t="e">
        <f>#REF!</f>
        <v>#REF!</v>
      </c>
      <c r="K18" s="48">
        <v>40</v>
      </c>
      <c r="L18" s="48" t="s">
        <v>34</v>
      </c>
    </row>
    <row r="19" spans="1:15" s="44" customFormat="1" ht="35.450000000000003" customHeight="1">
      <c r="A19" s="48">
        <v>10</v>
      </c>
      <c r="B19" s="49" t="s">
        <v>47</v>
      </c>
      <c r="C19" s="48" t="s">
        <v>5</v>
      </c>
      <c r="D19" s="50" t="s">
        <v>48</v>
      </c>
      <c r="E19" s="50">
        <v>27.2</v>
      </c>
      <c r="F19" s="48">
        <v>28.7</v>
      </c>
      <c r="G19" s="48">
        <v>27.6</v>
      </c>
      <c r="H19" s="48">
        <v>26.8</v>
      </c>
      <c r="I19" s="51" t="e">
        <f>#REF!</f>
        <v>#REF!</v>
      </c>
      <c r="J19" s="100" t="e">
        <f>#REF!</f>
        <v>#REF!</v>
      </c>
      <c r="K19" s="53">
        <v>23</v>
      </c>
      <c r="L19" s="48" t="s">
        <v>76</v>
      </c>
    </row>
    <row r="20" spans="1:15" s="44" customFormat="1" ht="25.35" customHeight="1">
      <c r="A20" s="48" t="s">
        <v>49</v>
      </c>
      <c r="B20" s="49" t="s">
        <v>50</v>
      </c>
      <c r="C20" s="48"/>
      <c r="D20" s="50"/>
      <c r="E20" s="50"/>
      <c r="F20" s="48"/>
      <c r="G20" s="48"/>
      <c r="H20" s="48"/>
      <c r="I20" s="48"/>
      <c r="J20" s="48"/>
      <c r="K20" s="48"/>
      <c r="L20" s="48"/>
    </row>
    <row r="21" spans="1:15" s="44" customFormat="1" ht="43.5" customHeight="1">
      <c r="A21" s="48">
        <v>11</v>
      </c>
      <c r="B21" s="49" t="s">
        <v>51</v>
      </c>
      <c r="C21" s="48" t="s">
        <v>52</v>
      </c>
      <c r="D21" s="50" t="s">
        <v>53</v>
      </c>
      <c r="E21" s="65" t="e">
        <f>#REF!</f>
        <v>#REF!</v>
      </c>
      <c r="F21" s="65" t="e">
        <f>#REF!</f>
        <v>#REF!</v>
      </c>
      <c r="G21" s="65" t="e">
        <f>#REF!</f>
        <v>#REF!</v>
      </c>
      <c r="H21" s="65" t="e">
        <f>#REF!</f>
        <v>#REF!</v>
      </c>
      <c r="I21" s="65" t="e">
        <f>#REF!</f>
        <v>#REF!</v>
      </c>
      <c r="J21" s="52" t="e">
        <f>#REF!</f>
        <v>#REF!</v>
      </c>
      <c r="K21" s="48" t="s">
        <v>102</v>
      </c>
      <c r="L21" s="48" t="s">
        <v>40</v>
      </c>
    </row>
    <row r="22" spans="1:15" s="44" customFormat="1" ht="30.6" customHeight="1">
      <c r="A22" s="48">
        <v>12</v>
      </c>
      <c r="B22" s="49" t="s">
        <v>54</v>
      </c>
      <c r="C22" s="48" t="s">
        <v>55</v>
      </c>
      <c r="D22" s="50" t="s">
        <v>56</v>
      </c>
      <c r="E22" s="50"/>
      <c r="F22" s="48">
        <v>183</v>
      </c>
      <c r="G22" s="48" t="s">
        <v>57</v>
      </c>
      <c r="H22" s="48" t="s">
        <v>58</v>
      </c>
      <c r="I22" s="117" t="e">
        <f>#REF!</f>
        <v>#REF!</v>
      </c>
      <c r="J22" s="48">
        <v>196</v>
      </c>
      <c r="K22" s="48">
        <v>204</v>
      </c>
      <c r="L22" s="48" t="s">
        <v>28</v>
      </c>
    </row>
    <row r="23" spans="1:15" s="44" customFormat="1" ht="29.1" customHeight="1">
      <c r="A23" s="48">
        <v>13</v>
      </c>
      <c r="B23" s="49" t="s">
        <v>59</v>
      </c>
      <c r="C23" s="48" t="s">
        <v>5</v>
      </c>
      <c r="D23" s="50" t="s">
        <v>46</v>
      </c>
      <c r="E23" s="50"/>
      <c r="F23" s="48">
        <v>27.8</v>
      </c>
      <c r="G23" s="48" t="s">
        <v>60</v>
      </c>
      <c r="H23" s="48" t="s">
        <v>61</v>
      </c>
      <c r="I23" s="51" t="str">
        <f>H23</f>
        <v>37</v>
      </c>
      <c r="J23" s="48">
        <v>40</v>
      </c>
      <c r="K23" s="48">
        <v>43</v>
      </c>
      <c r="L23" s="48" t="s">
        <v>34</v>
      </c>
    </row>
    <row r="24" spans="1:15" s="44" customFormat="1" ht="35.1" customHeight="1">
      <c r="A24" s="48">
        <v>14</v>
      </c>
      <c r="B24" s="49" t="s">
        <v>73</v>
      </c>
      <c r="C24" s="48" t="s">
        <v>5</v>
      </c>
      <c r="D24" s="50" t="s">
        <v>74</v>
      </c>
      <c r="E24" s="50"/>
      <c r="F24" s="48">
        <v>8.4700000000000006</v>
      </c>
      <c r="G24" s="48">
        <v>21.5</v>
      </c>
      <c r="H24" s="48">
        <v>12.4</v>
      </c>
      <c r="I24" s="118" t="s">
        <v>126</v>
      </c>
      <c r="J24" s="48">
        <v>18</v>
      </c>
      <c r="K24" s="48"/>
      <c r="L24" s="48" t="s">
        <v>76</v>
      </c>
    </row>
    <row r="25" spans="1:15" s="44" customFormat="1" ht="25.35" customHeight="1">
      <c r="A25" s="48">
        <v>15</v>
      </c>
      <c r="B25" s="49" t="s">
        <v>62</v>
      </c>
      <c r="C25" s="48" t="s">
        <v>5</v>
      </c>
      <c r="D25" s="64" t="e">
        <f>#REF!</f>
        <v>#REF!</v>
      </c>
      <c r="E25" s="64" t="e">
        <f>#REF!</f>
        <v>#REF!</v>
      </c>
      <c r="F25" s="64" t="e">
        <f>#REF!</f>
        <v>#REF!</v>
      </c>
      <c r="G25" s="64" t="e">
        <f>#REF!</f>
        <v>#REF!</v>
      </c>
      <c r="H25" s="64" t="e">
        <f>#REF!</f>
        <v>#REF!</v>
      </c>
      <c r="I25" s="64" t="e">
        <f>#REF!</f>
        <v>#REF!</v>
      </c>
      <c r="J25" s="124" t="e">
        <f>#REF!</f>
        <v>#REF!</v>
      </c>
      <c r="K25" s="48">
        <v>1.1599999999999999</v>
      </c>
      <c r="L25" s="48" t="s">
        <v>40</v>
      </c>
    </row>
    <row r="26" spans="1:15" s="44" customFormat="1" ht="25.35" customHeight="1">
      <c r="A26" s="48">
        <v>16</v>
      </c>
      <c r="B26" s="49" t="s">
        <v>63</v>
      </c>
      <c r="C26" s="48" t="s">
        <v>64</v>
      </c>
      <c r="D26" s="50" t="s">
        <v>101</v>
      </c>
      <c r="E26" s="50" t="e">
        <f>#REF!</f>
        <v>#REF!</v>
      </c>
      <c r="F26" s="50" t="e">
        <f>#REF!</f>
        <v>#REF!</v>
      </c>
      <c r="G26" s="50" t="e">
        <f>#REF!</f>
        <v>#REF!</v>
      </c>
      <c r="H26" s="50" t="e">
        <f>#REF!</f>
        <v>#REF!</v>
      </c>
      <c r="I26" s="50" t="e">
        <f>#REF!</f>
        <v>#REF!</v>
      </c>
      <c r="J26" s="48" t="e">
        <f>#REF!</f>
        <v>#REF!</v>
      </c>
      <c r="K26" s="48">
        <v>1.8</v>
      </c>
      <c r="L26" s="48" t="s">
        <v>76</v>
      </c>
    </row>
    <row r="27" spans="1:15" s="44" customFormat="1" ht="25.35" customHeight="1">
      <c r="A27" s="48">
        <v>17</v>
      </c>
      <c r="B27" s="49" t="s">
        <v>65</v>
      </c>
      <c r="C27" s="48" t="s">
        <v>5</v>
      </c>
      <c r="D27" s="64" t="e">
        <f>#REF!</f>
        <v>#REF!</v>
      </c>
      <c r="E27" s="64" t="e">
        <f>#REF!</f>
        <v>#REF!</v>
      </c>
      <c r="F27" s="64" t="e">
        <f>#REF!</f>
        <v>#REF!</v>
      </c>
      <c r="G27" s="64" t="e">
        <f>#REF!</f>
        <v>#REF!</v>
      </c>
      <c r="H27" s="64" t="e">
        <f>#REF!</f>
        <v>#REF!</v>
      </c>
      <c r="I27" s="64" t="e">
        <f>#REF!</f>
        <v>#REF!</v>
      </c>
      <c r="J27" s="124" t="e">
        <f>#REF!</f>
        <v>#REF!</v>
      </c>
      <c r="K27" s="48" t="s">
        <v>123</v>
      </c>
      <c r="L27" s="48" t="s">
        <v>76</v>
      </c>
    </row>
    <row r="28" spans="1:15" s="44" customFormat="1" ht="51.6" customHeight="1">
      <c r="A28" s="48">
        <v>18</v>
      </c>
      <c r="B28" s="49" t="s">
        <v>66</v>
      </c>
      <c r="C28" s="48" t="s">
        <v>5</v>
      </c>
      <c r="D28" s="50" t="e">
        <f>#REF!</f>
        <v>#REF!</v>
      </c>
      <c r="E28" s="50" t="e">
        <f>#REF!</f>
        <v>#REF!</v>
      </c>
      <c r="F28" s="50" t="e">
        <f>#REF!</f>
        <v>#REF!</v>
      </c>
      <c r="G28" s="50" t="e">
        <f>#REF!</f>
        <v>#REF!</v>
      </c>
      <c r="H28" s="50" t="e">
        <f>#REF!</f>
        <v>#REF!</v>
      </c>
      <c r="I28" s="66" t="e">
        <f>#REF!</f>
        <v>#REF!</v>
      </c>
      <c r="J28" s="66" t="e">
        <f>#REF!</f>
        <v>#REF!</v>
      </c>
      <c r="K28" s="48"/>
      <c r="L28" s="48" t="s">
        <v>28</v>
      </c>
    </row>
    <row r="29" spans="1:15" s="44" customFormat="1" ht="25.35" customHeight="1">
      <c r="A29" s="48">
        <v>19</v>
      </c>
      <c r="B29" s="49" t="s">
        <v>67</v>
      </c>
      <c r="C29" s="48" t="s">
        <v>68</v>
      </c>
      <c r="D29" s="50" t="s">
        <v>69</v>
      </c>
      <c r="E29" s="50"/>
      <c r="F29" s="48" t="s">
        <v>70</v>
      </c>
      <c r="G29" s="48" t="s">
        <v>70</v>
      </c>
      <c r="H29" s="54">
        <v>71.7</v>
      </c>
      <c r="I29" s="51">
        <f>H29</f>
        <v>71.7</v>
      </c>
      <c r="J29" s="48" t="s">
        <v>69</v>
      </c>
      <c r="K29" s="48"/>
      <c r="L29" s="48" t="s">
        <v>34</v>
      </c>
    </row>
    <row r="30" spans="1:15" s="44" customFormat="1" ht="33" customHeight="1">
      <c r="A30" s="627" t="s">
        <v>127</v>
      </c>
      <c r="B30" s="627"/>
      <c r="C30" s="627"/>
      <c r="D30" s="627"/>
      <c r="E30" s="627"/>
      <c r="F30" s="627"/>
      <c r="G30" s="627"/>
      <c r="H30" s="627"/>
      <c r="I30" s="627"/>
      <c r="J30" s="627"/>
      <c r="K30" s="627"/>
      <c r="L30" s="627"/>
    </row>
    <row r="31" spans="1:15" s="44" customFormat="1" ht="37.35" customHeight="1">
      <c r="A31" s="45">
        <v>20</v>
      </c>
      <c r="B31" s="46" t="s">
        <v>71</v>
      </c>
      <c r="C31" s="45" t="s">
        <v>5</v>
      </c>
      <c r="D31" s="47">
        <v>15</v>
      </c>
      <c r="E31" s="47"/>
      <c r="F31" s="45" t="s">
        <v>72</v>
      </c>
      <c r="G31" s="45">
        <v>20.8</v>
      </c>
      <c r="H31" s="45" t="s">
        <v>44</v>
      </c>
      <c r="I31" s="119">
        <f>(F31+G31+H31)/3</f>
        <v>16.733333333333334</v>
      </c>
      <c r="J31" s="45">
        <v>17</v>
      </c>
      <c r="K31" s="45">
        <v>18.5</v>
      </c>
      <c r="L31" s="45" t="s">
        <v>76</v>
      </c>
    </row>
    <row r="32" spans="1:15" s="44" customFormat="1" ht="32.450000000000003" customHeight="1">
      <c r="A32" s="48">
        <v>21</v>
      </c>
      <c r="B32" s="49" t="s">
        <v>75</v>
      </c>
      <c r="C32" s="48" t="s">
        <v>13</v>
      </c>
      <c r="D32" s="68" t="e">
        <f>#REF!</f>
        <v>#REF!</v>
      </c>
      <c r="E32" s="68" t="e">
        <f>#REF!</f>
        <v>#REF!</v>
      </c>
      <c r="F32" s="68" t="e">
        <f>#REF!</f>
        <v>#REF!</v>
      </c>
      <c r="G32" s="68" t="e">
        <f>#REF!</f>
        <v>#REF!</v>
      </c>
      <c r="H32" s="68" t="e">
        <f>#REF!</f>
        <v>#REF!</v>
      </c>
      <c r="I32" s="68" t="e">
        <f>#REF!</f>
        <v>#REF!</v>
      </c>
      <c r="J32" s="54" t="e">
        <f>#REF!</f>
        <v>#REF!</v>
      </c>
      <c r="K32" s="54">
        <v>15</v>
      </c>
      <c r="L32" s="48" t="s">
        <v>76</v>
      </c>
    </row>
    <row r="33" spans="1:12" s="44" customFormat="1" ht="34.35" customHeight="1">
      <c r="A33" s="48">
        <v>22</v>
      </c>
      <c r="B33" s="49" t="s">
        <v>77</v>
      </c>
      <c r="C33" s="48" t="s">
        <v>5</v>
      </c>
      <c r="D33" s="50" t="e">
        <f>#REF!</f>
        <v>#REF!</v>
      </c>
      <c r="E33" s="50" t="e">
        <f>#REF!</f>
        <v>#REF!</v>
      </c>
      <c r="F33" s="50" t="e">
        <f>#REF!</f>
        <v>#REF!</v>
      </c>
      <c r="G33" s="50" t="e">
        <f>#REF!</f>
        <v>#REF!</v>
      </c>
      <c r="H33" s="50" t="e">
        <f>#REF!</f>
        <v>#REF!</v>
      </c>
      <c r="I33" s="50" t="e">
        <f>#REF!</f>
        <v>#REF!</v>
      </c>
      <c r="J33" s="54" t="e">
        <f>#REF!</f>
        <v>#REF!</v>
      </c>
      <c r="K33" s="54" t="s">
        <v>97</v>
      </c>
      <c r="L33" s="48" t="s">
        <v>76</v>
      </c>
    </row>
    <row r="34" spans="1:12" s="44" customFormat="1" ht="32.1" customHeight="1">
      <c r="A34" s="48">
        <v>23</v>
      </c>
      <c r="B34" s="49" t="s">
        <v>78</v>
      </c>
      <c r="C34" s="48" t="s">
        <v>12</v>
      </c>
      <c r="D34" s="68" t="e">
        <f>#REF!</f>
        <v>#REF!</v>
      </c>
      <c r="E34" s="68" t="e">
        <f>#REF!</f>
        <v>#REF!</v>
      </c>
      <c r="F34" s="68" t="e">
        <f>#REF!</f>
        <v>#REF!</v>
      </c>
      <c r="G34" s="68" t="e">
        <f>#REF!</f>
        <v>#REF!</v>
      </c>
      <c r="H34" s="68" t="e">
        <f>#REF!</f>
        <v>#REF!</v>
      </c>
      <c r="I34" s="68" t="e">
        <f>#REF!</f>
        <v>#REF!</v>
      </c>
      <c r="J34" s="54" t="e">
        <f>#REF!</f>
        <v>#REF!</v>
      </c>
      <c r="K34" s="54">
        <v>74</v>
      </c>
      <c r="L34" s="48" t="s">
        <v>40</v>
      </c>
    </row>
    <row r="35" spans="1:12" s="44" customFormat="1" ht="25.35" customHeight="1">
      <c r="A35" s="48">
        <v>24</v>
      </c>
      <c r="B35" s="49" t="s">
        <v>79</v>
      </c>
      <c r="C35" s="48" t="s">
        <v>80</v>
      </c>
      <c r="D35" s="60" t="e">
        <f>#REF!</f>
        <v>#REF!</v>
      </c>
      <c r="E35" s="60" t="e">
        <f>#REF!</f>
        <v>#REF!</v>
      </c>
      <c r="F35" s="60" t="e">
        <f>#REF!</f>
        <v>#REF!</v>
      </c>
      <c r="G35" s="60" t="e">
        <f>#REF!</f>
        <v>#REF!</v>
      </c>
      <c r="H35" s="60" t="e">
        <f>#REF!</f>
        <v>#REF!</v>
      </c>
      <c r="I35" s="60" t="e">
        <f>#REF!</f>
        <v>#REF!</v>
      </c>
      <c r="J35" s="60" t="e">
        <f>#REF!</f>
        <v>#REF!</v>
      </c>
      <c r="K35" s="48">
        <v>7</v>
      </c>
      <c r="L35" s="48" t="s">
        <v>28</v>
      </c>
    </row>
    <row r="36" spans="1:12" s="44" customFormat="1" ht="35.450000000000003" customHeight="1">
      <c r="A36" s="48">
        <v>25</v>
      </c>
      <c r="B36" s="49" t="s">
        <v>81</v>
      </c>
      <c r="C36" s="48" t="s">
        <v>5</v>
      </c>
      <c r="D36" s="67" t="e">
        <f>#REF!</f>
        <v>#REF!</v>
      </c>
      <c r="E36" s="67" t="e">
        <f>#REF!</f>
        <v>#REF!</v>
      </c>
      <c r="F36" s="67" t="e">
        <f>#REF!</f>
        <v>#REF!</v>
      </c>
      <c r="G36" s="67" t="e">
        <f>#REF!</f>
        <v>#REF!</v>
      </c>
      <c r="H36" s="67" t="e">
        <f>#REF!</f>
        <v>#REF!</v>
      </c>
      <c r="I36" s="51" t="e">
        <f>#REF!</f>
        <v>#REF!</v>
      </c>
      <c r="J36" s="48" t="e">
        <f>#REF!</f>
        <v>#REF!</v>
      </c>
      <c r="K36" s="61" t="s">
        <v>11</v>
      </c>
      <c r="L36" s="48" t="s">
        <v>28</v>
      </c>
    </row>
    <row r="37" spans="1:12" s="44" customFormat="1" ht="25.35" customHeight="1">
      <c r="A37" s="48">
        <v>26</v>
      </c>
      <c r="B37" s="49" t="s">
        <v>82</v>
      </c>
      <c r="C37" s="48" t="s">
        <v>83</v>
      </c>
      <c r="D37" s="65" t="e">
        <f>#REF!</f>
        <v>#REF!</v>
      </c>
      <c r="E37" s="65" t="e">
        <f>#REF!</f>
        <v>#REF!</v>
      </c>
      <c r="F37" s="65" t="e">
        <f>#REF!</f>
        <v>#REF!</v>
      </c>
      <c r="G37" s="65" t="e">
        <f>#REF!</f>
        <v>#REF!</v>
      </c>
      <c r="H37" s="65" t="e">
        <f>#REF!</f>
        <v>#REF!</v>
      </c>
      <c r="I37" s="68" t="e">
        <f>#REF!</f>
        <v>#REF!</v>
      </c>
      <c r="J37" s="48" t="e">
        <f>#REF!</f>
        <v>#REF!</v>
      </c>
      <c r="K37" s="48">
        <v>100</v>
      </c>
      <c r="L37" s="48" t="s">
        <v>76</v>
      </c>
    </row>
    <row r="38" spans="1:12" s="44" customFormat="1" ht="25.35" customHeight="1">
      <c r="A38" s="48">
        <v>27</v>
      </c>
      <c r="B38" s="49" t="s">
        <v>84</v>
      </c>
      <c r="C38" s="48" t="s">
        <v>85</v>
      </c>
      <c r="D38" s="50" t="e">
        <f>#REF!</f>
        <v>#REF!</v>
      </c>
      <c r="E38" s="50" t="e">
        <f>#REF!</f>
        <v>#REF!</v>
      </c>
      <c r="F38" s="50" t="e">
        <f>#REF!</f>
        <v>#REF!</v>
      </c>
      <c r="G38" s="50" t="e">
        <f>#REF!</f>
        <v>#REF!</v>
      </c>
      <c r="H38" s="50" t="e">
        <f>#REF!</f>
        <v>#REF!</v>
      </c>
      <c r="I38" s="50" t="e">
        <f>#REF!</f>
        <v>#REF!</v>
      </c>
      <c r="J38" s="124" t="e">
        <f>#REF!</f>
        <v>#REF!</v>
      </c>
      <c r="K38" s="48">
        <v>9.5</v>
      </c>
      <c r="L38" s="48" t="s">
        <v>40</v>
      </c>
    </row>
    <row r="39" spans="1:12" s="44" customFormat="1" ht="25.35" customHeight="1">
      <c r="A39" s="48" t="s">
        <v>86</v>
      </c>
      <c r="B39" s="49" t="s">
        <v>87</v>
      </c>
      <c r="C39" s="48"/>
      <c r="D39" s="50"/>
      <c r="E39" s="50"/>
      <c r="F39" s="48"/>
      <c r="G39" s="48"/>
      <c r="H39" s="48"/>
      <c r="I39" s="48"/>
      <c r="J39" s="48"/>
      <c r="K39" s="48"/>
      <c r="L39" s="48"/>
    </row>
    <row r="40" spans="1:12" s="44" customFormat="1" ht="25.35" customHeight="1">
      <c r="A40" s="48">
        <v>28</v>
      </c>
      <c r="B40" s="49" t="s">
        <v>88</v>
      </c>
      <c r="C40" s="48" t="s">
        <v>5</v>
      </c>
      <c r="D40" s="50" t="e">
        <f>#REF!</f>
        <v>#REF!</v>
      </c>
      <c r="E40" s="50" t="e">
        <f>#REF!</f>
        <v>#REF!</v>
      </c>
      <c r="F40" s="50" t="e">
        <f>#REF!</f>
        <v>#REF!</v>
      </c>
      <c r="G40" s="50" t="e">
        <f>#REF!</f>
        <v>#REF!</v>
      </c>
      <c r="H40" s="50" t="e">
        <f>#REF!</f>
        <v>#REF!</v>
      </c>
      <c r="I40" s="59" t="e">
        <f>+#REF!</f>
        <v>#REF!</v>
      </c>
      <c r="J40" s="48" t="e">
        <f>#REF!</f>
        <v>#REF!</v>
      </c>
      <c r="K40" s="48">
        <v>40.6</v>
      </c>
      <c r="L40" s="48" t="s">
        <v>40</v>
      </c>
    </row>
    <row r="41" spans="1:12" s="44" customFormat="1" ht="35.1" customHeight="1">
      <c r="A41" s="48">
        <v>29</v>
      </c>
      <c r="B41" s="49" t="s">
        <v>89</v>
      </c>
      <c r="C41" s="48" t="s">
        <v>5</v>
      </c>
      <c r="D41" s="60" t="e">
        <f>#REF!</f>
        <v>#REF!</v>
      </c>
      <c r="E41" s="60" t="e">
        <f>#REF!</f>
        <v>#REF!</v>
      </c>
      <c r="F41" s="60" t="e">
        <f>#REF!</f>
        <v>#REF!</v>
      </c>
      <c r="G41" s="60" t="e">
        <f>#REF!</f>
        <v>#REF!</v>
      </c>
      <c r="H41" s="60" t="e">
        <f>#REF!</f>
        <v>#REF!</v>
      </c>
      <c r="I41" s="51" t="e">
        <f>+#REF!</f>
        <v>#REF!</v>
      </c>
      <c r="J41" s="48" t="e">
        <f>#REF!</f>
        <v>#REF!</v>
      </c>
      <c r="K41" s="48">
        <v>84</v>
      </c>
      <c r="L41" s="48" t="s">
        <v>76</v>
      </c>
    </row>
    <row r="42" spans="1:12" s="44" customFormat="1" ht="32.1" customHeight="1">
      <c r="A42" s="48">
        <v>30</v>
      </c>
      <c r="B42" s="49" t="s">
        <v>90</v>
      </c>
      <c r="C42" s="48" t="s">
        <v>5</v>
      </c>
      <c r="D42" s="60" t="e">
        <f>#REF!</f>
        <v>#REF!</v>
      </c>
      <c r="E42" s="60" t="e">
        <f>#REF!</f>
        <v>#REF!</v>
      </c>
      <c r="F42" s="60" t="e">
        <f>#REF!</f>
        <v>#REF!</v>
      </c>
      <c r="G42" s="60" t="e">
        <f>#REF!</f>
        <v>#REF!</v>
      </c>
      <c r="H42" s="60" t="e">
        <f>#REF!</f>
        <v>#REF!</v>
      </c>
      <c r="I42" s="60" t="e">
        <f>#REF!</f>
        <v>#REF!</v>
      </c>
      <c r="J42" s="48" t="e">
        <f>#REF!</f>
        <v>#REF!</v>
      </c>
      <c r="K42" s="48">
        <v>95</v>
      </c>
      <c r="L42" s="48" t="s">
        <v>28</v>
      </c>
    </row>
    <row r="43" spans="1:12" s="41" customFormat="1" ht="17.25" thickBot="1">
      <c r="A43" s="42"/>
      <c r="B43" s="42"/>
      <c r="C43" s="42"/>
      <c r="D43" s="43"/>
      <c r="E43" s="43"/>
      <c r="F43" s="42"/>
      <c r="G43" s="42"/>
      <c r="H43" s="42"/>
      <c r="I43" s="42"/>
      <c r="J43" s="42"/>
      <c r="K43" s="42"/>
      <c r="L43" s="42"/>
    </row>
    <row r="44" spans="1:12" ht="13.5" thickTop="1"/>
  </sheetData>
  <mergeCells count="14">
    <mergeCell ref="J4:K4"/>
    <mergeCell ref="L4:L5"/>
    <mergeCell ref="E4:E5"/>
    <mergeCell ref="A30:L30"/>
    <mergeCell ref="A1:L1"/>
    <mergeCell ref="A2:L2"/>
    <mergeCell ref="A4:A5"/>
    <mergeCell ref="B4:B5"/>
    <mergeCell ref="C4:C5"/>
    <mergeCell ref="D4:D5"/>
    <mergeCell ref="F4:F5"/>
    <mergeCell ref="G4:G5"/>
    <mergeCell ref="H4:H5"/>
    <mergeCell ref="I4:I5"/>
  </mergeCells>
  <phoneticPr fontId="14" type="noConversion"/>
  <pageMargins left="0.62" right="0.41" top="0.9" bottom="1.2" header="0.43" footer="0.5"/>
  <pageSetup paperSize="9" scale="95" firstPageNumber="61" orientation="landscape" horizontalDpi="300" r:id="rId1"/>
  <headerFooter alignWithMargins="0">
    <oddFooter>&amp;C&amp;P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12"/>
  <sheetViews>
    <sheetView tabSelected="1" zoomScale="85" zoomScaleNormal="85" workbookViewId="0">
      <pane xSplit="2" ySplit="5" topLeftCell="H22" activePane="bottomRight" state="frozen"/>
      <selection pane="topRight" activeCell="C1" sqref="C1"/>
      <selection pane="bottomLeft" activeCell="A7" sqref="A7"/>
      <selection pane="bottomRight" activeCell="B77" sqref="B77"/>
    </sheetView>
  </sheetViews>
  <sheetFormatPr defaultRowHeight="15"/>
  <cols>
    <col min="1" max="1" width="5.85546875" style="597" customWidth="1"/>
    <col min="2" max="2" width="26.42578125" style="489" customWidth="1"/>
    <col min="3" max="3" width="10.140625" style="598" customWidth="1"/>
    <col min="4" max="4" width="11.140625" style="597" customWidth="1"/>
    <col min="5" max="6" width="14.42578125" style="477" hidden="1" customWidth="1"/>
    <col min="7" max="7" width="11.42578125" style="477" customWidth="1"/>
    <col min="8" max="8" width="10.85546875" style="477" customWidth="1"/>
    <col min="9" max="9" width="12.42578125" style="477" customWidth="1"/>
    <col min="10" max="10" width="10.5703125" style="477" customWidth="1"/>
    <col min="11" max="11" width="12.7109375" style="477" hidden="1" customWidth="1"/>
    <col min="12" max="12" width="10.5703125" style="477" customWidth="1"/>
    <col min="13" max="13" width="11" style="477" customWidth="1"/>
    <col min="14" max="14" width="12" style="477" customWidth="1"/>
    <col min="15" max="15" width="11.5703125" style="477" customWidth="1"/>
    <col min="16" max="16" width="11.42578125" style="477" customWidth="1"/>
    <col min="17" max="17" width="11.28515625" style="477" customWidth="1"/>
    <col min="18" max="18" width="11.42578125" style="477" customWidth="1"/>
    <col min="19" max="19" width="10.5703125" style="477" customWidth="1"/>
    <col min="20" max="21" width="10.42578125" style="477" customWidth="1"/>
    <col min="22" max="22" width="10.7109375" style="477" customWidth="1"/>
    <col min="23" max="23" width="9.42578125" style="477" customWidth="1"/>
    <col min="24" max="24" width="9" style="477" customWidth="1"/>
    <col min="25" max="25" width="8.85546875" style="477" customWidth="1"/>
    <col min="26" max="26" width="8.7109375" style="477" customWidth="1"/>
    <col min="27" max="16384" width="9.140625" style="477"/>
  </cols>
  <sheetData>
    <row r="1" spans="1:26" s="469" customFormat="1" ht="24" customHeight="1">
      <c r="A1" s="465" t="s">
        <v>403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7"/>
      <c r="T1" s="467"/>
      <c r="U1" s="467"/>
      <c r="V1" s="467"/>
      <c r="W1" s="467"/>
      <c r="X1" s="467"/>
      <c r="Y1" s="468"/>
    </row>
    <row r="2" spans="1:26" s="469" customFormat="1" ht="24" customHeight="1">
      <c r="A2" s="681"/>
      <c r="B2" s="681"/>
      <c r="C2" s="681"/>
      <c r="D2" s="681"/>
      <c r="E2" s="681"/>
      <c r="F2" s="681"/>
      <c r="G2" s="681"/>
      <c r="H2" s="681"/>
      <c r="I2" s="681"/>
      <c r="J2" s="681"/>
      <c r="K2" s="681"/>
      <c r="L2" s="681"/>
      <c r="M2" s="681"/>
      <c r="N2" s="681"/>
      <c r="O2" s="681"/>
      <c r="P2" s="681"/>
      <c r="Q2" s="681"/>
      <c r="R2" s="681"/>
      <c r="S2" s="681"/>
      <c r="T2" s="681"/>
      <c r="U2" s="681"/>
      <c r="V2" s="681"/>
      <c r="W2" s="681"/>
      <c r="X2" s="681"/>
      <c r="Y2" s="681"/>
      <c r="Z2" s="681"/>
    </row>
    <row r="3" spans="1:26" ht="11.25" customHeight="1">
      <c r="A3" s="470"/>
      <c r="B3" s="471"/>
      <c r="C3" s="471"/>
      <c r="D3" s="471"/>
      <c r="E3" s="471"/>
      <c r="F3" s="471"/>
      <c r="G3" s="471"/>
      <c r="H3" s="471"/>
      <c r="I3" s="472"/>
      <c r="J3" s="471"/>
      <c r="K3" s="471"/>
      <c r="L3" s="473"/>
      <c r="M3" s="471"/>
      <c r="N3" s="471"/>
      <c r="O3" s="471"/>
      <c r="P3" s="471"/>
      <c r="Q3" s="471"/>
      <c r="R3" s="471"/>
      <c r="S3" s="474"/>
      <c r="T3" s="474"/>
      <c r="U3" s="474"/>
      <c r="V3" s="474"/>
      <c r="W3" s="474"/>
      <c r="X3" s="474"/>
      <c r="Y3" s="475"/>
      <c r="Z3" s="476"/>
    </row>
    <row r="4" spans="1:26" ht="30" customHeight="1">
      <c r="A4" s="682" t="s">
        <v>308</v>
      </c>
      <c r="B4" s="682" t="s">
        <v>284</v>
      </c>
      <c r="C4" s="682" t="s">
        <v>307</v>
      </c>
      <c r="D4" s="682">
        <v>2015</v>
      </c>
      <c r="E4" s="683" t="s">
        <v>293</v>
      </c>
      <c r="F4" s="683"/>
      <c r="G4" s="682">
        <v>2016</v>
      </c>
      <c r="H4" s="682">
        <v>2017</v>
      </c>
      <c r="I4" s="682">
        <v>2018</v>
      </c>
      <c r="J4" s="682">
        <v>2019</v>
      </c>
      <c r="K4" s="682" t="s">
        <v>288</v>
      </c>
      <c r="L4" s="682">
        <v>2020</v>
      </c>
      <c r="M4" s="682">
        <v>2021</v>
      </c>
      <c r="N4" s="682">
        <v>2022</v>
      </c>
      <c r="O4" s="682">
        <v>2023</v>
      </c>
      <c r="P4" s="682">
        <v>2024</v>
      </c>
      <c r="Q4" s="682">
        <v>2025</v>
      </c>
      <c r="R4" s="682">
        <v>2026</v>
      </c>
      <c r="S4" s="682">
        <v>2027</v>
      </c>
      <c r="T4" s="682">
        <v>2028</v>
      </c>
      <c r="U4" s="682">
        <v>2029</v>
      </c>
      <c r="V4" s="682">
        <v>2030</v>
      </c>
      <c r="W4" s="682" t="s">
        <v>404</v>
      </c>
      <c r="X4" s="682" t="s">
        <v>405</v>
      </c>
      <c r="Y4" s="684" t="s">
        <v>406</v>
      </c>
      <c r="Z4" s="684" t="s">
        <v>407</v>
      </c>
    </row>
    <row r="5" spans="1:26" ht="31.5" customHeight="1">
      <c r="A5" s="682"/>
      <c r="B5" s="682"/>
      <c r="C5" s="682"/>
      <c r="D5" s="682"/>
      <c r="E5" s="478" t="s">
        <v>290</v>
      </c>
      <c r="F5" s="478" t="s">
        <v>291</v>
      </c>
      <c r="G5" s="682"/>
      <c r="H5" s="682"/>
      <c r="I5" s="682"/>
      <c r="J5" s="682"/>
      <c r="K5" s="682"/>
      <c r="L5" s="682"/>
      <c r="M5" s="682"/>
      <c r="N5" s="682"/>
      <c r="O5" s="682"/>
      <c r="P5" s="682"/>
      <c r="Q5" s="682"/>
      <c r="R5" s="682"/>
      <c r="S5" s="682"/>
      <c r="T5" s="682"/>
      <c r="U5" s="682"/>
      <c r="V5" s="682"/>
      <c r="W5" s="682"/>
      <c r="X5" s="682"/>
      <c r="Y5" s="684"/>
      <c r="Z5" s="684"/>
    </row>
    <row r="6" spans="1:26" s="484" customFormat="1" ht="19.5" customHeight="1">
      <c r="A6" s="478" t="s">
        <v>99</v>
      </c>
      <c r="B6" s="479" t="s">
        <v>285</v>
      </c>
      <c r="C6" s="478"/>
      <c r="D6" s="478"/>
      <c r="E6" s="478"/>
      <c r="F6" s="478"/>
      <c r="G6" s="478"/>
      <c r="H6" s="478"/>
      <c r="I6" s="478"/>
      <c r="J6" s="478"/>
      <c r="K6" s="478"/>
      <c r="L6" s="478"/>
      <c r="M6" s="478"/>
      <c r="N6" s="478"/>
      <c r="O6" s="478"/>
      <c r="P6" s="478"/>
      <c r="Q6" s="480"/>
      <c r="R6" s="478"/>
      <c r="S6" s="478"/>
      <c r="T6" s="478"/>
      <c r="U6" s="478"/>
      <c r="V6" s="478"/>
      <c r="W6" s="481"/>
      <c r="X6" s="482"/>
      <c r="Y6" s="483"/>
      <c r="Z6" s="482"/>
    </row>
    <row r="7" spans="1:26" s="489" customFormat="1" ht="19.5" customHeight="1">
      <c r="A7" s="478">
        <v>1</v>
      </c>
      <c r="B7" s="479" t="s">
        <v>408</v>
      </c>
      <c r="C7" s="478" t="s">
        <v>409</v>
      </c>
      <c r="D7" s="485">
        <f t="shared" ref="D7:V7" si="0">D8+D9+D12+D13</f>
        <v>38453.307053662109</v>
      </c>
      <c r="E7" s="485">
        <f t="shared" si="0"/>
        <v>0</v>
      </c>
      <c r="F7" s="485">
        <f t="shared" si="0"/>
        <v>0</v>
      </c>
      <c r="G7" s="485">
        <f t="shared" si="0"/>
        <v>32844.907825144488</v>
      </c>
      <c r="H7" s="485">
        <f t="shared" si="0"/>
        <v>36097.045284869855</v>
      </c>
      <c r="I7" s="485">
        <f t="shared" si="0"/>
        <v>43454.066699684277</v>
      </c>
      <c r="J7" s="485">
        <f t="shared" si="0"/>
        <v>48229.012261132782</v>
      </c>
      <c r="K7" s="485">
        <f t="shared" si="0"/>
        <v>0</v>
      </c>
      <c r="L7" s="485">
        <f t="shared" si="0"/>
        <v>53292.675098636406</v>
      </c>
      <c r="M7" s="485">
        <f t="shared" si="0"/>
        <v>59126.063572360988</v>
      </c>
      <c r="N7" s="485">
        <f t="shared" si="0"/>
        <v>64873.679099266796</v>
      </c>
      <c r="O7" s="485">
        <f t="shared" si="0"/>
        <v>69426.381603416099</v>
      </c>
      <c r="P7" s="485">
        <f t="shared" si="0"/>
        <v>79184.818779572903</v>
      </c>
      <c r="Q7" s="485">
        <f t="shared" si="0"/>
        <v>89094.226506466148</v>
      </c>
      <c r="R7" s="485">
        <f t="shared" si="0"/>
        <v>96086.413840571709</v>
      </c>
      <c r="S7" s="485">
        <f t="shared" si="0"/>
        <v>106070.40240655767</v>
      </c>
      <c r="T7" s="485">
        <f t="shared" si="0"/>
        <v>113679.01002684147</v>
      </c>
      <c r="U7" s="485">
        <f t="shared" si="0"/>
        <v>122815.34257483743</v>
      </c>
      <c r="V7" s="485">
        <f t="shared" si="0"/>
        <v>134191.45909630196</v>
      </c>
      <c r="W7" s="486"/>
      <c r="X7" s="487"/>
      <c r="Y7" s="488"/>
      <c r="Z7" s="487"/>
    </row>
    <row r="8" spans="1:26" s="484" customFormat="1" ht="21.75" customHeight="1">
      <c r="A8" s="478" t="s">
        <v>281</v>
      </c>
      <c r="B8" s="490" t="s">
        <v>214</v>
      </c>
      <c r="C8" s="491" t="s">
        <v>409</v>
      </c>
      <c r="D8" s="492">
        <v>6072.699334703726</v>
      </c>
      <c r="E8" s="492"/>
      <c r="F8" s="492"/>
      <c r="G8" s="492">
        <v>6250.0451501369107</v>
      </c>
      <c r="H8" s="492">
        <v>6083.3618818199302</v>
      </c>
      <c r="I8" s="492">
        <v>6423.3661976427675</v>
      </c>
      <c r="J8" s="492">
        <v>6321.8432740123717</v>
      </c>
      <c r="K8" s="478"/>
      <c r="L8" s="493">
        <f>J8*1.029</f>
        <v>6505.1767289587297</v>
      </c>
      <c r="M8" s="492">
        <v>6700</v>
      </c>
      <c r="N8" s="492">
        <v>6850</v>
      </c>
      <c r="O8" s="492">
        <v>7000</v>
      </c>
      <c r="P8" s="492">
        <v>7200</v>
      </c>
      <c r="Q8" s="492">
        <v>7400</v>
      </c>
      <c r="R8" s="492">
        <f>Q8*1.025</f>
        <v>7584.9999999999991</v>
      </c>
      <c r="S8" s="494">
        <f>R8*1.025</f>
        <v>7774.6249999999982</v>
      </c>
      <c r="T8" s="494">
        <f>S8*1.025</f>
        <v>7968.9906249999976</v>
      </c>
      <c r="U8" s="494">
        <f>T8*1.025</f>
        <v>8168.2153906249969</v>
      </c>
      <c r="V8" s="494">
        <f>U8*1.025</f>
        <v>8372.4207753906212</v>
      </c>
      <c r="W8" s="481"/>
      <c r="X8" s="482"/>
      <c r="Y8" s="483"/>
      <c r="Z8" s="482"/>
    </row>
    <row r="9" spans="1:26" s="484" customFormat="1" ht="19.5" customHeight="1">
      <c r="A9" s="478" t="s">
        <v>281</v>
      </c>
      <c r="B9" s="490" t="s">
        <v>216</v>
      </c>
      <c r="C9" s="491" t="s">
        <v>409</v>
      </c>
      <c r="D9" s="492">
        <v>13721.857132631234</v>
      </c>
      <c r="E9" s="492"/>
      <c r="F9" s="492"/>
      <c r="G9" s="492">
        <v>9724.3044943756868</v>
      </c>
      <c r="H9" s="492">
        <v>12025.86471475803</v>
      </c>
      <c r="I9" s="492">
        <v>17513.539062395743</v>
      </c>
      <c r="J9" s="492">
        <v>21355.505970265633</v>
      </c>
      <c r="K9" s="478"/>
      <c r="L9" s="493">
        <f>J9*1.1353</f>
        <v>24244.905928042572</v>
      </c>
      <c r="M9" s="492">
        <f t="shared" ref="M9:V9" si="1">M10+M11</f>
        <v>27906.063572360988</v>
      </c>
      <c r="N9" s="492">
        <f t="shared" si="1"/>
        <v>31823.679099266799</v>
      </c>
      <c r="O9" s="492">
        <f t="shared" si="1"/>
        <v>34426.381603416099</v>
      </c>
      <c r="P9" s="492">
        <f t="shared" si="1"/>
        <v>42432.884141916104</v>
      </c>
      <c r="Q9" s="492">
        <f t="shared" si="1"/>
        <v>50194.226506466148</v>
      </c>
      <c r="R9" s="493">
        <f t="shared" si="1"/>
        <v>55151.913840571717</v>
      </c>
      <c r="S9" s="493">
        <f t="shared" si="1"/>
        <v>62828.532406557657</v>
      </c>
      <c r="T9" s="493">
        <f t="shared" si="1"/>
        <v>67832.671106841473</v>
      </c>
      <c r="U9" s="493">
        <f t="shared" si="1"/>
        <v>74161.357954287421</v>
      </c>
      <c r="V9" s="493">
        <f t="shared" si="1"/>
        <v>82524.70177087636</v>
      </c>
      <c r="W9" s="481"/>
      <c r="X9" s="482"/>
      <c r="Y9" s="483"/>
      <c r="Z9" s="482"/>
    </row>
    <row r="10" spans="1:26" s="484" customFormat="1" ht="21" customHeight="1">
      <c r="A10" s="478" t="s">
        <v>330</v>
      </c>
      <c r="B10" s="495" t="s">
        <v>262</v>
      </c>
      <c r="C10" s="491" t="s">
        <v>409</v>
      </c>
      <c r="D10" s="492">
        <v>4871.8502232271121</v>
      </c>
      <c r="E10" s="492"/>
      <c r="F10" s="492"/>
      <c r="G10" s="492">
        <v>4976.1214237033719</v>
      </c>
      <c r="H10" s="492">
        <v>7894.9231319902538</v>
      </c>
      <c r="I10" s="492">
        <v>13420.602142189433</v>
      </c>
      <c r="J10" s="492">
        <v>17223.341742292007</v>
      </c>
      <c r="K10" s="478"/>
      <c r="L10" s="493">
        <v>18919.840903907771</v>
      </c>
      <c r="M10" s="492">
        <v>20717.225789779008</v>
      </c>
      <c r="N10" s="492">
        <v>22478.189981910222</v>
      </c>
      <c r="O10" s="492">
        <v>24613.618030191694</v>
      </c>
      <c r="P10" s="492">
        <v>33895.779833210865</v>
      </c>
      <c r="Q10" s="492">
        <v>42083.977413196175</v>
      </c>
      <c r="R10" s="492">
        <v>45419.614928647752</v>
      </c>
      <c r="S10" s="494">
        <v>52414.972570799015</v>
      </c>
      <c r="T10" s="494">
        <v>56898.433279294899</v>
      </c>
      <c r="U10" s="494">
        <v>63095.909272810291</v>
      </c>
      <c r="V10" s="494">
        <v>71071.962385547522</v>
      </c>
      <c r="W10" s="481"/>
      <c r="X10" s="482"/>
      <c r="Y10" s="483"/>
      <c r="Z10" s="482"/>
    </row>
    <row r="11" spans="1:26" s="484" customFormat="1" ht="21" customHeight="1">
      <c r="A11" s="478" t="s">
        <v>330</v>
      </c>
      <c r="B11" s="495" t="s">
        <v>222</v>
      </c>
      <c r="C11" s="491" t="s">
        <v>409</v>
      </c>
      <c r="D11" s="492">
        <v>8850.0069094041228</v>
      </c>
      <c r="E11" s="492"/>
      <c r="F11" s="492"/>
      <c r="G11" s="492">
        <v>4748.1830706723149</v>
      </c>
      <c r="H11" s="492">
        <v>4130.9415827677767</v>
      </c>
      <c r="I11" s="492">
        <v>4092.9369202063122</v>
      </c>
      <c r="J11" s="492">
        <v>4132.164227973627</v>
      </c>
      <c r="K11" s="478"/>
      <c r="L11" s="493">
        <f>L9-L10</f>
        <v>5325.0650241348012</v>
      </c>
      <c r="M11" s="492">
        <f>L11*1.35</f>
        <v>7188.8377825819825</v>
      </c>
      <c r="N11" s="492">
        <f>M11*1.3</f>
        <v>9345.4891173565775</v>
      </c>
      <c r="O11" s="492">
        <f>N11*1.05</f>
        <v>9812.7635732244071</v>
      </c>
      <c r="P11" s="492">
        <f>O11*0.87</f>
        <v>8537.1043087052349</v>
      </c>
      <c r="Q11" s="492">
        <f>P11*0.95</f>
        <v>8110.2490932699729</v>
      </c>
      <c r="R11" s="492">
        <f>Q11*1.2</f>
        <v>9732.2989119239664</v>
      </c>
      <c r="S11" s="494">
        <f>R11*1.07</f>
        <v>10413.559835758644</v>
      </c>
      <c r="T11" s="494">
        <f>S11*1.05</f>
        <v>10934.237827546576</v>
      </c>
      <c r="U11" s="494">
        <f>T11*1.012</f>
        <v>11065.448681477135</v>
      </c>
      <c r="V11" s="494">
        <f>U11*1.035</f>
        <v>11452.739385328834</v>
      </c>
      <c r="W11" s="481"/>
      <c r="X11" s="496"/>
      <c r="Y11" s="483"/>
      <c r="Z11" s="482"/>
    </row>
    <row r="12" spans="1:26" s="484" customFormat="1" ht="21" customHeight="1">
      <c r="A12" s="478" t="s">
        <v>281</v>
      </c>
      <c r="B12" s="490" t="s">
        <v>147</v>
      </c>
      <c r="C12" s="491" t="s">
        <v>409</v>
      </c>
      <c r="D12" s="492">
        <v>13606.789275602119</v>
      </c>
      <c r="E12" s="492"/>
      <c r="F12" s="492"/>
      <c r="G12" s="492">
        <v>13483.953427131877</v>
      </c>
      <c r="H12" s="492">
        <v>14407.615391984928</v>
      </c>
      <c r="I12" s="492">
        <v>15310.446587713594</v>
      </c>
      <c r="J12" s="492">
        <v>16100.083657588333</v>
      </c>
      <c r="K12" s="478"/>
      <c r="L12" s="493">
        <f>J12*1.105</f>
        <v>17790.592441635108</v>
      </c>
      <c r="M12" s="492">
        <v>19500</v>
      </c>
      <c r="N12" s="492">
        <v>21000</v>
      </c>
      <c r="O12" s="492">
        <v>22500</v>
      </c>
      <c r="P12" s="492">
        <v>23851.934637656799</v>
      </c>
      <c r="Q12" s="492">
        <v>25500</v>
      </c>
      <c r="R12" s="493">
        <f>Q12*1.065</f>
        <v>27157.5</v>
      </c>
      <c r="S12" s="494">
        <f>R12*1.07</f>
        <v>29058.525000000001</v>
      </c>
      <c r="T12" s="494">
        <f>S12*1.075</f>
        <v>31237.914375</v>
      </c>
      <c r="U12" s="494">
        <f>T12*1.075</f>
        <v>33580.757953125001</v>
      </c>
      <c r="V12" s="494">
        <f>U12*1.075</f>
        <v>36099.314799609376</v>
      </c>
      <c r="W12" s="481"/>
      <c r="X12" s="482"/>
      <c r="Y12" s="483"/>
      <c r="Z12" s="482"/>
    </row>
    <row r="13" spans="1:26" s="484" customFormat="1" ht="18" customHeight="1">
      <c r="A13" s="478" t="s">
        <v>281</v>
      </c>
      <c r="B13" s="490" t="s">
        <v>410</v>
      </c>
      <c r="C13" s="491" t="s">
        <v>409</v>
      </c>
      <c r="D13" s="492">
        <v>5051.9613107250316</v>
      </c>
      <c r="E13" s="492"/>
      <c r="F13" s="492"/>
      <c r="G13" s="492">
        <v>3386.6047535000121</v>
      </c>
      <c r="H13" s="492">
        <v>3580.203296306971</v>
      </c>
      <c r="I13" s="492">
        <v>4206.7148519321709</v>
      </c>
      <c r="J13" s="492">
        <v>4451.5793592664377</v>
      </c>
      <c r="K13" s="478"/>
      <c r="L13" s="493">
        <v>4752</v>
      </c>
      <c r="M13" s="492">
        <v>5020</v>
      </c>
      <c r="N13" s="492">
        <v>5200</v>
      </c>
      <c r="O13" s="492">
        <v>5500</v>
      </c>
      <c r="P13" s="492">
        <v>5700</v>
      </c>
      <c r="Q13" s="492">
        <v>6000</v>
      </c>
      <c r="R13" s="493">
        <f>Q13*1.032</f>
        <v>6192</v>
      </c>
      <c r="S13" s="494">
        <f>R13*1.035</f>
        <v>6408.7199999999993</v>
      </c>
      <c r="T13" s="494">
        <f>S13*1.036</f>
        <v>6639.4339199999995</v>
      </c>
      <c r="U13" s="494">
        <f>T13*1.04</f>
        <v>6905.0112767999999</v>
      </c>
      <c r="V13" s="494">
        <f>U13*1.042</f>
        <v>7195.0217504255997</v>
      </c>
      <c r="W13" s="481"/>
      <c r="X13" s="482"/>
      <c r="Y13" s="483"/>
      <c r="Z13" s="482"/>
    </row>
    <row r="14" spans="1:26" s="484" customFormat="1" ht="17.25" customHeight="1">
      <c r="A14" s="478">
        <v>2</v>
      </c>
      <c r="B14" s="479" t="s">
        <v>411</v>
      </c>
      <c r="C14" s="478" t="s">
        <v>409</v>
      </c>
      <c r="D14" s="485">
        <f t="shared" ref="D14:V14" si="2">D15+D16+D19+D20</f>
        <v>55676.377581593209</v>
      </c>
      <c r="E14" s="485">
        <f t="shared" si="2"/>
        <v>0</v>
      </c>
      <c r="F14" s="485">
        <f t="shared" si="2"/>
        <v>0</v>
      </c>
      <c r="G14" s="485">
        <f t="shared" si="2"/>
        <v>50248.547962682511</v>
      </c>
      <c r="H14" s="485">
        <f t="shared" si="2"/>
        <v>57031.102584404885</v>
      </c>
      <c r="I14" s="485">
        <f t="shared" si="2"/>
        <v>69261.953976130942</v>
      </c>
      <c r="J14" s="485">
        <f t="shared" si="2"/>
        <v>78803.550589917795</v>
      </c>
      <c r="K14" s="485">
        <f t="shared" si="2"/>
        <v>0</v>
      </c>
      <c r="L14" s="485">
        <f t="shared" si="2"/>
        <v>88676.077118769026</v>
      </c>
      <c r="M14" s="485">
        <f t="shared" si="2"/>
        <v>100156.29626524773</v>
      </c>
      <c r="N14" s="485">
        <f t="shared" si="2"/>
        <v>111838.65088241339</v>
      </c>
      <c r="O14" s="485">
        <f t="shared" si="2"/>
        <v>121770.05078008349</v>
      </c>
      <c r="P14" s="485">
        <f t="shared" si="2"/>
        <v>141261.3568599314</v>
      </c>
      <c r="Q14" s="485">
        <f t="shared" si="2"/>
        <v>161612.0214370859</v>
      </c>
      <c r="R14" s="485">
        <f t="shared" si="2"/>
        <v>177178.05669300808</v>
      </c>
      <c r="S14" s="485">
        <f t="shared" si="2"/>
        <v>198770.09397171388</v>
      </c>
      <c r="T14" s="485">
        <f t="shared" si="2"/>
        <v>216438.57603003812</v>
      </c>
      <c r="U14" s="485">
        <f t="shared" si="2"/>
        <v>237518.11044065424</v>
      </c>
      <c r="V14" s="485">
        <f t="shared" si="2"/>
        <v>263544.63720761007</v>
      </c>
      <c r="W14" s="481"/>
      <c r="X14" s="482"/>
      <c r="Y14" s="483"/>
      <c r="Z14" s="482"/>
    </row>
    <row r="15" spans="1:26" s="484" customFormat="1" ht="22.5" customHeight="1">
      <c r="A15" s="491" t="s">
        <v>281</v>
      </c>
      <c r="B15" s="490" t="s">
        <v>214</v>
      </c>
      <c r="C15" s="491" t="s">
        <v>409</v>
      </c>
      <c r="D15" s="492">
        <v>9732.7706762690832</v>
      </c>
      <c r="E15" s="492"/>
      <c r="F15" s="492"/>
      <c r="G15" s="492">
        <v>10443.859551357094</v>
      </c>
      <c r="H15" s="492">
        <v>9520.900976975161</v>
      </c>
      <c r="I15" s="492">
        <v>10362.482579631727</v>
      </c>
      <c r="J15" s="492">
        <v>10743.528689230203</v>
      </c>
      <c r="K15" s="478"/>
      <c r="L15" s="497">
        <f t="shared" ref="L15:V15" si="3">L8*L21</f>
        <v>10824.255907977977</v>
      </c>
      <c r="M15" s="497">
        <f t="shared" si="3"/>
        <v>11349.43110420168</v>
      </c>
      <c r="N15" s="497">
        <f t="shared" si="3"/>
        <v>11809.022845340525</v>
      </c>
      <c r="O15" s="497">
        <f t="shared" si="3"/>
        <v>12277.614586479369</v>
      </c>
      <c r="P15" s="497">
        <f t="shared" si="3"/>
        <v>12844.403574664493</v>
      </c>
      <c r="Q15" s="497">
        <f t="shared" si="3"/>
        <v>13423.192562849617</v>
      </c>
      <c r="R15" s="497">
        <f t="shared" si="3"/>
        <v>13986.322376920858</v>
      </c>
      <c r="S15" s="497">
        <f t="shared" si="3"/>
        <v>14569.219186343877</v>
      </c>
      <c r="T15" s="497">
        <f t="shared" si="3"/>
        <v>15172.519384752473</v>
      </c>
      <c r="U15" s="497">
        <f t="shared" si="3"/>
        <v>15796.878831090035</v>
      </c>
      <c r="V15" s="497">
        <f t="shared" si="3"/>
        <v>16442.973425129003</v>
      </c>
      <c r="W15" s="481"/>
      <c r="X15" s="482"/>
      <c r="Y15" s="483"/>
      <c r="Z15" s="482"/>
    </row>
    <row r="16" spans="1:26" s="484" customFormat="1" ht="22.5" customHeight="1">
      <c r="A16" s="491" t="s">
        <v>281</v>
      </c>
      <c r="B16" s="490" t="s">
        <v>216</v>
      </c>
      <c r="C16" s="491" t="s">
        <v>409</v>
      </c>
      <c r="D16" s="492">
        <v>18759.458092196084</v>
      </c>
      <c r="E16" s="492"/>
      <c r="F16" s="492"/>
      <c r="G16" s="492">
        <v>14522.693142658134</v>
      </c>
      <c r="H16" s="492">
        <v>19325.562052733221</v>
      </c>
      <c r="I16" s="492">
        <v>27563.075946836743</v>
      </c>
      <c r="J16" s="492">
        <v>34056.358806137971</v>
      </c>
      <c r="K16" s="478"/>
      <c r="L16" s="497">
        <f t="shared" ref="L16:V16" si="4">L17+L18</f>
        <v>40342.188562184107</v>
      </c>
      <c r="M16" s="497">
        <f t="shared" si="4"/>
        <v>47271.335209549747</v>
      </c>
      <c r="N16" s="497">
        <f t="shared" si="4"/>
        <v>54862.270584821519</v>
      </c>
      <c r="O16" s="497">
        <f t="shared" si="4"/>
        <v>60381.977847686641</v>
      </c>
      <c r="P16" s="497">
        <f t="shared" si="4"/>
        <v>75697.928993854366</v>
      </c>
      <c r="Q16" s="497">
        <f t="shared" si="4"/>
        <v>91049.563235079127</v>
      </c>
      <c r="R16" s="497">
        <f t="shared" si="4"/>
        <v>101697.09250868812</v>
      </c>
      <c r="S16" s="497">
        <f t="shared" si="4"/>
        <v>117737.21044905036</v>
      </c>
      <c r="T16" s="497">
        <f t="shared" si="4"/>
        <v>129149.67098334258</v>
      </c>
      <c r="U16" s="497">
        <f t="shared" si="4"/>
        <v>143423.98302786847</v>
      </c>
      <c r="V16" s="497">
        <f t="shared" si="4"/>
        <v>162073.97054430854</v>
      </c>
      <c r="W16" s="481"/>
      <c r="X16" s="482"/>
      <c r="Y16" s="483"/>
      <c r="Z16" s="482"/>
    </row>
    <row r="17" spans="1:26" s="484" customFormat="1" ht="22.5" customHeight="1">
      <c r="A17" s="491" t="s">
        <v>330</v>
      </c>
      <c r="B17" s="495" t="s">
        <v>262</v>
      </c>
      <c r="C17" s="491" t="s">
        <v>409</v>
      </c>
      <c r="D17" s="492">
        <v>7191.7681628259161</v>
      </c>
      <c r="E17" s="492"/>
      <c r="F17" s="492"/>
      <c r="G17" s="492">
        <v>8224.2282994113193</v>
      </c>
      <c r="H17" s="492">
        <v>13662.965626671101</v>
      </c>
      <c r="I17" s="492">
        <v>21611.852460975206</v>
      </c>
      <c r="J17" s="492">
        <v>27930.10525953252</v>
      </c>
      <c r="K17" s="478"/>
      <c r="L17" s="497">
        <f t="shared" ref="L17:V17" si="5">L10*L21</f>
        <v>31481.573555175019</v>
      </c>
      <c r="M17" s="497">
        <f t="shared" si="5"/>
        <v>35093.839816610016</v>
      </c>
      <c r="N17" s="497">
        <f t="shared" si="5"/>
        <v>38751.161900479172</v>
      </c>
      <c r="O17" s="497">
        <f t="shared" si="5"/>
        <v>43170.930821930444</v>
      </c>
      <c r="P17" s="497">
        <f t="shared" si="5"/>
        <v>60468.204952185319</v>
      </c>
      <c r="Q17" s="497">
        <f t="shared" si="5"/>
        <v>76338.017922695435</v>
      </c>
      <c r="R17" s="497">
        <f t="shared" si="5"/>
        <v>83751.269166469967</v>
      </c>
      <c r="S17" s="497">
        <f t="shared" si="5"/>
        <v>98222.772677804169</v>
      </c>
      <c r="T17" s="497">
        <f t="shared" si="5"/>
        <v>108331.48418870769</v>
      </c>
      <c r="U17" s="497">
        <f t="shared" si="5"/>
        <v>122024.01453125365</v>
      </c>
      <c r="V17" s="497">
        <f t="shared" si="5"/>
        <v>139581.42096875233</v>
      </c>
      <c r="W17" s="481"/>
      <c r="X17" s="482"/>
      <c r="Y17" s="483"/>
      <c r="Z17" s="482"/>
    </row>
    <row r="18" spans="1:26" s="484" customFormat="1" ht="22.5" customHeight="1">
      <c r="A18" s="491" t="s">
        <v>330</v>
      </c>
      <c r="B18" s="495" t="s">
        <v>222</v>
      </c>
      <c r="C18" s="491" t="s">
        <v>409</v>
      </c>
      <c r="D18" s="492">
        <v>11567.689929370168</v>
      </c>
      <c r="E18" s="492"/>
      <c r="F18" s="492"/>
      <c r="G18" s="492">
        <v>6298.4648432468157</v>
      </c>
      <c r="H18" s="492">
        <v>5662.5964260621204</v>
      </c>
      <c r="I18" s="492">
        <v>5951.2234858615375</v>
      </c>
      <c r="J18" s="492">
        <v>6126.2535466054533</v>
      </c>
      <c r="K18" s="478"/>
      <c r="L18" s="497">
        <f t="shared" ref="L18:V18" si="6">L11*L21</f>
        <v>8860.615007009088</v>
      </c>
      <c r="M18" s="497">
        <f t="shared" si="6"/>
        <v>12177.495392939731</v>
      </c>
      <c r="N18" s="497">
        <f t="shared" si="6"/>
        <v>16111.108684342347</v>
      </c>
      <c r="O18" s="497">
        <f t="shared" si="6"/>
        <v>17211.047025756197</v>
      </c>
      <c r="P18" s="497">
        <f t="shared" si="6"/>
        <v>15229.724041669051</v>
      </c>
      <c r="Q18" s="497">
        <f t="shared" si="6"/>
        <v>14711.545312383698</v>
      </c>
      <c r="R18" s="497">
        <f t="shared" si="6"/>
        <v>17945.823342218155</v>
      </c>
      <c r="S18" s="497">
        <f t="shared" si="6"/>
        <v>19514.437771246183</v>
      </c>
      <c r="T18" s="497">
        <f t="shared" si="6"/>
        <v>20818.18679463489</v>
      </c>
      <c r="U18" s="497">
        <f t="shared" si="6"/>
        <v>21399.968496614823</v>
      </c>
      <c r="V18" s="497">
        <f t="shared" si="6"/>
        <v>22492.549575556208</v>
      </c>
      <c r="W18" s="481"/>
      <c r="X18" s="482"/>
      <c r="Y18" s="483"/>
      <c r="Z18" s="482"/>
    </row>
    <row r="19" spans="1:26" s="484" customFormat="1" ht="22.5" customHeight="1">
      <c r="A19" s="491" t="s">
        <v>281</v>
      </c>
      <c r="B19" s="490" t="s">
        <v>147</v>
      </c>
      <c r="C19" s="491" t="s">
        <v>409</v>
      </c>
      <c r="D19" s="492">
        <v>20039.743595053133</v>
      </c>
      <c r="E19" s="492"/>
      <c r="F19" s="492"/>
      <c r="G19" s="492">
        <v>20225.750119730503</v>
      </c>
      <c r="H19" s="492">
        <v>22623.570710568027</v>
      </c>
      <c r="I19" s="492">
        <v>24960.964149173353</v>
      </c>
      <c r="J19" s="492">
        <v>26981.626821197588</v>
      </c>
      <c r="K19" s="478"/>
      <c r="L19" s="493">
        <f t="shared" ref="L19:V19" si="7">L12*L21</f>
        <v>29602.566289328381</v>
      </c>
      <c r="M19" s="493">
        <f t="shared" si="7"/>
        <v>33031.926348049667</v>
      </c>
      <c r="N19" s="493">
        <f t="shared" si="7"/>
        <v>36202.843759438103</v>
      </c>
      <c r="O19" s="493">
        <f t="shared" si="7"/>
        <v>39463.761170826539</v>
      </c>
      <c r="P19" s="493">
        <f t="shared" si="7"/>
        <v>42550.538128136504</v>
      </c>
      <c r="Q19" s="493">
        <f t="shared" si="7"/>
        <v>46255.595993603412</v>
      </c>
      <c r="R19" s="493">
        <f t="shared" si="7"/>
        <v>50076.934733187634</v>
      </c>
      <c r="S19" s="493">
        <f t="shared" si="7"/>
        <v>54454.075914510773</v>
      </c>
      <c r="T19" s="493">
        <f t="shared" si="7"/>
        <v>59475.269039349085</v>
      </c>
      <c r="U19" s="493">
        <f t="shared" si="7"/>
        <v>64943.336955894018</v>
      </c>
      <c r="V19" s="493">
        <f t="shared" si="7"/>
        <v>70897.066671574343</v>
      </c>
      <c r="W19" s="481"/>
      <c r="X19" s="482"/>
      <c r="Y19" s="483"/>
      <c r="Z19" s="482"/>
    </row>
    <row r="20" spans="1:26" s="484" customFormat="1" ht="21" customHeight="1">
      <c r="A20" s="491" t="s">
        <v>281</v>
      </c>
      <c r="B20" s="490" t="s">
        <v>410</v>
      </c>
      <c r="C20" s="491" t="s">
        <v>409</v>
      </c>
      <c r="D20" s="492">
        <v>7144.4052180749077</v>
      </c>
      <c r="E20" s="492"/>
      <c r="F20" s="492"/>
      <c r="G20" s="492">
        <v>5056.2451489367804</v>
      </c>
      <c r="H20" s="492">
        <v>5561.0688441284701</v>
      </c>
      <c r="I20" s="492">
        <v>6375.4313004891101</v>
      </c>
      <c r="J20" s="492">
        <v>7022.0362733520251</v>
      </c>
      <c r="K20" s="478"/>
      <c r="L20" s="493">
        <f t="shared" ref="L20:V20" si="8">L13*L21</f>
        <v>7907.066359278565</v>
      </c>
      <c r="M20" s="493">
        <f t="shared" si="8"/>
        <v>8503.6036034466324</v>
      </c>
      <c r="N20" s="493">
        <f t="shared" si="8"/>
        <v>8964.5136928132451</v>
      </c>
      <c r="O20" s="493">
        <f t="shared" si="8"/>
        <v>9646.6971750909324</v>
      </c>
      <c r="P20" s="493">
        <f t="shared" si="8"/>
        <v>10168.486163276057</v>
      </c>
      <c r="Q20" s="493">
        <f t="shared" si="8"/>
        <v>10883.669645553744</v>
      </c>
      <c r="R20" s="493">
        <f t="shared" si="8"/>
        <v>11417.707074211465</v>
      </c>
      <c r="S20" s="493">
        <f t="shared" si="8"/>
        <v>12009.588421808865</v>
      </c>
      <c r="T20" s="493">
        <f t="shared" si="8"/>
        <v>12641.116622593985</v>
      </c>
      <c r="U20" s="493">
        <f t="shared" si="8"/>
        <v>13353.911625801744</v>
      </c>
      <c r="V20" s="493">
        <f t="shared" si="8"/>
        <v>14130.626566598186</v>
      </c>
      <c r="W20" s="481"/>
      <c r="X20" s="482"/>
      <c r="Y20" s="483"/>
      <c r="Z20" s="482"/>
    </row>
    <row r="21" spans="1:26" s="484" customFormat="1" ht="18" customHeight="1">
      <c r="A21" s="491"/>
      <c r="B21" s="490" t="s">
        <v>412</v>
      </c>
      <c r="C21" s="491"/>
      <c r="D21" s="498">
        <f t="shared" ref="D21:K21" si="9">D14/D7</f>
        <v>1.4478956908412604</v>
      </c>
      <c r="E21" s="498" t="e">
        <f t="shared" si="9"/>
        <v>#DIV/0!</v>
      </c>
      <c r="F21" s="498" t="e">
        <f t="shared" si="9"/>
        <v>#DIV/0!</v>
      </c>
      <c r="G21" s="498">
        <f t="shared" si="9"/>
        <v>1.5298733133972942</v>
      </c>
      <c r="H21" s="498">
        <f t="shared" si="9"/>
        <v>1.5799382507440181</v>
      </c>
      <c r="I21" s="498">
        <f t="shared" si="9"/>
        <v>1.5939118990820293</v>
      </c>
      <c r="J21" s="498">
        <f t="shared" si="9"/>
        <v>1.6339449409256239</v>
      </c>
      <c r="K21" s="498" t="e">
        <f t="shared" si="9"/>
        <v>#DIV/0!</v>
      </c>
      <c r="L21" s="498">
        <f>J21+0.03</f>
        <v>1.6639449409256239</v>
      </c>
      <c r="M21" s="498">
        <f t="shared" ref="M21:V21" si="10">L21+0.03</f>
        <v>1.693944940925624</v>
      </c>
      <c r="N21" s="498">
        <f t="shared" si="10"/>
        <v>1.723944940925624</v>
      </c>
      <c r="O21" s="498">
        <f t="shared" si="10"/>
        <v>1.753944940925624</v>
      </c>
      <c r="P21" s="498">
        <f t="shared" si="10"/>
        <v>1.7839449409256241</v>
      </c>
      <c r="Q21" s="498">
        <f t="shared" si="10"/>
        <v>1.8139449409256241</v>
      </c>
      <c r="R21" s="498">
        <f t="shared" si="10"/>
        <v>1.8439449409256241</v>
      </c>
      <c r="S21" s="498">
        <f t="shared" si="10"/>
        <v>1.8739449409256241</v>
      </c>
      <c r="T21" s="498">
        <f t="shared" si="10"/>
        <v>1.9039449409256242</v>
      </c>
      <c r="U21" s="498">
        <f t="shared" si="10"/>
        <v>1.9339449409256242</v>
      </c>
      <c r="V21" s="498">
        <f t="shared" si="10"/>
        <v>1.9639449409256242</v>
      </c>
      <c r="W21" s="481"/>
      <c r="X21" s="482"/>
      <c r="Y21" s="483"/>
      <c r="Z21" s="482"/>
    </row>
    <row r="22" spans="1:26" s="484" customFormat="1" ht="29.25" customHeight="1">
      <c r="A22" s="499">
        <v>3</v>
      </c>
      <c r="B22" s="479" t="s">
        <v>413</v>
      </c>
      <c r="C22" s="478" t="s">
        <v>5</v>
      </c>
      <c r="D22" s="500">
        <v>118.360813496303</v>
      </c>
      <c r="E22" s="501"/>
      <c r="F22" s="501"/>
      <c r="G22" s="502">
        <v>85.42</v>
      </c>
      <c r="H22" s="502">
        <v>109.901496685692</v>
      </c>
      <c r="I22" s="502">
        <v>120.381228869993</v>
      </c>
      <c r="J22" s="502">
        <v>110.988489511116</v>
      </c>
      <c r="K22" s="503">
        <v>8300</v>
      </c>
      <c r="L22" s="496">
        <f t="shared" ref="L22:L28" si="11">L7/J7*100</f>
        <v>110.49920493931486</v>
      </c>
      <c r="M22" s="504">
        <f t="shared" ref="M22:V28" si="12">M7/L7*100</f>
        <v>110.94594794299198</v>
      </c>
      <c r="N22" s="504">
        <f t="shared" si="12"/>
        <v>109.72095076120132</v>
      </c>
      <c r="O22" s="504">
        <f t="shared" si="12"/>
        <v>107.0177960728618</v>
      </c>
      <c r="P22" s="504">
        <f t="shared" si="12"/>
        <v>114.0558055177063</v>
      </c>
      <c r="Q22" s="504">
        <f t="shared" si="12"/>
        <v>112.5142772056827</v>
      </c>
      <c r="R22" s="504">
        <f t="shared" si="12"/>
        <v>107.84808130479486</v>
      </c>
      <c r="S22" s="504">
        <f t="shared" si="12"/>
        <v>110.39063502000562</v>
      </c>
      <c r="T22" s="504">
        <f t="shared" si="12"/>
        <v>107.17316748843916</v>
      </c>
      <c r="U22" s="504">
        <f t="shared" si="12"/>
        <v>108.03695646701948</v>
      </c>
      <c r="V22" s="504">
        <f t="shared" si="12"/>
        <v>109.26278124781723</v>
      </c>
      <c r="W22" s="481">
        <f t="shared" ref="W22:W28" si="13">(G22*H22*I22*J22*L22)^(1/5)</f>
        <v>106.74604867437942</v>
      </c>
      <c r="X22" s="496">
        <f t="shared" ref="X22:X28" si="14">(M22*N22*O22*P22*Q22)^(1/5)</f>
        <v>110.82466015167192</v>
      </c>
      <c r="Y22" s="505">
        <f t="shared" ref="Y22:Y28" si="15">(R22*S22*T22*U22*V22)^(1/5)</f>
        <v>108.53631256177231</v>
      </c>
      <c r="Z22" s="506">
        <f t="shared" ref="Z22:Z28" si="16">(M22*N22*O22*P22*Q22*R22*S22*T22*U22*V22)^(1/10)</f>
        <v>109.67451825184398</v>
      </c>
    </row>
    <row r="23" spans="1:26" s="489" customFormat="1" ht="23.25" customHeight="1">
      <c r="A23" s="507" t="s">
        <v>281</v>
      </c>
      <c r="B23" s="490" t="s">
        <v>214</v>
      </c>
      <c r="C23" s="508" t="s">
        <v>287</v>
      </c>
      <c r="D23" s="509">
        <v>107.06535450102101</v>
      </c>
      <c r="E23" s="510"/>
      <c r="F23" s="510"/>
      <c r="G23" s="511">
        <v>102.92037865961299</v>
      </c>
      <c r="H23" s="511">
        <v>97.33</v>
      </c>
      <c r="I23" s="511">
        <v>105.589085811891</v>
      </c>
      <c r="J23" s="511">
        <v>98.42</v>
      </c>
      <c r="K23" s="497"/>
      <c r="L23" s="512">
        <f t="shared" si="11"/>
        <v>102.89999999999999</v>
      </c>
      <c r="M23" s="513">
        <f t="shared" si="12"/>
        <v>102.99489589843095</v>
      </c>
      <c r="N23" s="513">
        <f t="shared" si="12"/>
        <v>102.23880597014924</v>
      </c>
      <c r="O23" s="513">
        <f t="shared" si="12"/>
        <v>102.18978102189782</v>
      </c>
      <c r="P23" s="513">
        <f t="shared" si="12"/>
        <v>102.85714285714285</v>
      </c>
      <c r="Q23" s="513">
        <f t="shared" si="12"/>
        <v>102.77777777777777</v>
      </c>
      <c r="R23" s="513">
        <f t="shared" si="12"/>
        <v>102.49999999999999</v>
      </c>
      <c r="S23" s="513">
        <f t="shared" si="12"/>
        <v>102.49999999999999</v>
      </c>
      <c r="T23" s="513">
        <f t="shared" si="12"/>
        <v>102.49999999999999</v>
      </c>
      <c r="U23" s="513">
        <f t="shared" si="12"/>
        <v>102.49999999999999</v>
      </c>
      <c r="V23" s="513">
        <f t="shared" si="12"/>
        <v>102.49999999999999</v>
      </c>
      <c r="W23" s="486">
        <f t="shared" si="13"/>
        <v>101.38487564249458</v>
      </c>
      <c r="X23" s="512">
        <f t="shared" si="14"/>
        <v>102.61114269210307</v>
      </c>
      <c r="Y23" s="514">
        <f t="shared" si="15"/>
        <v>102.50000000000001</v>
      </c>
      <c r="Z23" s="515">
        <f t="shared" si="16"/>
        <v>102.55555628994729</v>
      </c>
    </row>
    <row r="24" spans="1:26" s="489" customFormat="1" ht="23.25" customHeight="1">
      <c r="A24" s="507" t="s">
        <v>281</v>
      </c>
      <c r="B24" s="490" t="s">
        <v>216</v>
      </c>
      <c r="C24" s="508" t="s">
        <v>287</v>
      </c>
      <c r="D24" s="509">
        <v>125.77603199787499</v>
      </c>
      <c r="E24" s="510"/>
      <c r="F24" s="510"/>
      <c r="G24" s="511">
        <v>70.87</v>
      </c>
      <c r="H24" s="511">
        <v>123.668121681231</v>
      </c>
      <c r="I24" s="511">
        <v>145.632264105742</v>
      </c>
      <c r="J24" s="511">
        <v>121.937124724946</v>
      </c>
      <c r="K24" s="497"/>
      <c r="L24" s="512">
        <f t="shared" si="11"/>
        <v>113.53</v>
      </c>
      <c r="M24" s="513">
        <f t="shared" si="12"/>
        <v>115.10072942821272</v>
      </c>
      <c r="N24" s="513">
        <f t="shared" si="12"/>
        <v>114.03858167508059</v>
      </c>
      <c r="O24" s="513">
        <f t="shared" si="12"/>
        <v>108.17850914104166</v>
      </c>
      <c r="P24" s="513">
        <f t="shared" si="12"/>
        <v>123.25688081522203</v>
      </c>
      <c r="Q24" s="513">
        <f t="shared" si="12"/>
        <v>118.29086691018304</v>
      </c>
      <c r="R24" s="513">
        <f t="shared" si="12"/>
        <v>109.87700713640226</v>
      </c>
      <c r="S24" s="513">
        <f t="shared" si="12"/>
        <v>113.91904293326398</v>
      </c>
      <c r="T24" s="513">
        <f t="shared" si="12"/>
        <v>107.96475503820859</v>
      </c>
      <c r="U24" s="513">
        <f t="shared" si="12"/>
        <v>109.32985056342216</v>
      </c>
      <c r="V24" s="513">
        <f t="shared" si="12"/>
        <v>111.27722583200817</v>
      </c>
      <c r="W24" s="486">
        <f t="shared" si="13"/>
        <v>112.05851873175843</v>
      </c>
      <c r="X24" s="512">
        <f t="shared" si="14"/>
        <v>115.66624918721151</v>
      </c>
      <c r="Y24" s="514">
        <f t="shared" si="15"/>
        <v>110.45516772928941</v>
      </c>
      <c r="Z24" s="515">
        <f t="shared" si="16"/>
        <v>113.030681474506</v>
      </c>
    </row>
    <row r="25" spans="1:26" s="489" customFormat="1" ht="23.25" customHeight="1">
      <c r="A25" s="516" t="s">
        <v>330</v>
      </c>
      <c r="B25" s="495" t="s">
        <v>262</v>
      </c>
      <c r="C25" s="517" t="s">
        <v>5</v>
      </c>
      <c r="D25" s="518">
        <v>172.909037639367</v>
      </c>
      <c r="E25" s="510"/>
      <c r="F25" s="510"/>
      <c r="G25" s="511">
        <v>102.140279271705</v>
      </c>
      <c r="H25" s="511">
        <v>158.656159280667</v>
      </c>
      <c r="I25" s="511">
        <v>169.99028258817501</v>
      </c>
      <c r="J25" s="511">
        <v>128.33508928893801</v>
      </c>
      <c r="K25" s="497"/>
      <c r="L25" s="512">
        <f t="shared" si="11"/>
        <v>109.85000000000001</v>
      </c>
      <c r="M25" s="513">
        <f t="shared" si="12"/>
        <v>109.5</v>
      </c>
      <c r="N25" s="513">
        <f t="shared" si="12"/>
        <v>108.5</v>
      </c>
      <c r="O25" s="513">
        <f t="shared" si="12"/>
        <v>109.5</v>
      </c>
      <c r="P25" s="513">
        <f t="shared" si="12"/>
        <v>137.71148878492156</v>
      </c>
      <c r="Q25" s="513">
        <f t="shared" si="12"/>
        <v>124.15698243343725</v>
      </c>
      <c r="R25" s="513">
        <f t="shared" si="12"/>
        <v>107.92614605482996</v>
      </c>
      <c r="S25" s="513">
        <f t="shared" si="12"/>
        <v>115.40162252176877</v>
      </c>
      <c r="T25" s="513">
        <f t="shared" si="12"/>
        <v>108.55377860293621</v>
      </c>
      <c r="U25" s="513">
        <f t="shared" si="12"/>
        <v>110.89217336283077</v>
      </c>
      <c r="V25" s="513">
        <f t="shared" si="12"/>
        <v>112.64115725514129</v>
      </c>
      <c r="W25" s="486">
        <f t="shared" si="13"/>
        <v>131.17307827945697</v>
      </c>
      <c r="X25" s="512">
        <f t="shared" si="14"/>
        <v>117.33831834178139</v>
      </c>
      <c r="Y25" s="514">
        <f t="shared" si="15"/>
        <v>111.04942281840449</v>
      </c>
      <c r="Z25" s="515">
        <f t="shared" si="16"/>
        <v>114.15056954013431</v>
      </c>
    </row>
    <row r="26" spans="1:26" s="489" customFormat="1" ht="23.25" customHeight="1">
      <c r="A26" s="516" t="s">
        <v>330</v>
      </c>
      <c r="B26" s="495" t="s">
        <v>222</v>
      </c>
      <c r="C26" s="517" t="s">
        <v>5</v>
      </c>
      <c r="D26" s="518">
        <v>109.364992602836</v>
      </c>
      <c r="E26" s="510"/>
      <c r="F26" s="510"/>
      <c r="G26" s="511">
        <v>53.65</v>
      </c>
      <c r="H26" s="511">
        <v>87</v>
      </c>
      <c r="I26" s="511">
        <v>99.08</v>
      </c>
      <c r="J26" s="511">
        <v>99.04</v>
      </c>
      <c r="K26" s="497"/>
      <c r="L26" s="512">
        <f t="shared" si="11"/>
        <v>128.86866858014889</v>
      </c>
      <c r="M26" s="513">
        <f t="shared" si="12"/>
        <v>135</v>
      </c>
      <c r="N26" s="513">
        <f t="shared" si="12"/>
        <v>130</v>
      </c>
      <c r="O26" s="513">
        <f t="shared" si="12"/>
        <v>105</v>
      </c>
      <c r="P26" s="513">
        <f t="shared" si="12"/>
        <v>87.000000000000014</v>
      </c>
      <c r="Q26" s="513">
        <f t="shared" si="12"/>
        <v>95</v>
      </c>
      <c r="R26" s="513">
        <f t="shared" si="12"/>
        <v>120</v>
      </c>
      <c r="S26" s="513">
        <f t="shared" si="12"/>
        <v>107</v>
      </c>
      <c r="T26" s="513">
        <f t="shared" si="12"/>
        <v>105</v>
      </c>
      <c r="U26" s="513">
        <f t="shared" si="12"/>
        <v>101.2</v>
      </c>
      <c r="V26" s="513">
        <f t="shared" si="12"/>
        <v>103.49999999999999</v>
      </c>
      <c r="W26" s="486">
        <f t="shared" si="13"/>
        <v>89.992556630811094</v>
      </c>
      <c r="X26" s="512">
        <f t="shared" si="14"/>
        <v>108.77819686314437</v>
      </c>
      <c r="Y26" s="514">
        <f t="shared" si="15"/>
        <v>107.14577167360561</v>
      </c>
      <c r="Z26" s="515">
        <f t="shared" si="16"/>
        <v>107.95889886510041</v>
      </c>
    </row>
    <row r="27" spans="1:26" s="489" customFormat="1" ht="23.25" customHeight="1">
      <c r="A27" s="507" t="s">
        <v>281</v>
      </c>
      <c r="B27" s="490" t="s">
        <v>147</v>
      </c>
      <c r="C27" s="508" t="s">
        <v>287</v>
      </c>
      <c r="D27" s="509">
        <v>110.05479808595901</v>
      </c>
      <c r="E27" s="510"/>
      <c r="F27" s="510"/>
      <c r="G27" s="511">
        <v>99.1</v>
      </c>
      <c r="H27" s="511">
        <v>106.850082728663</v>
      </c>
      <c r="I27" s="511">
        <v>106.266347144656</v>
      </c>
      <c r="J27" s="511">
        <v>105.15750514102101</v>
      </c>
      <c r="K27" s="497"/>
      <c r="L27" s="512">
        <f t="shared" si="11"/>
        <v>110.5</v>
      </c>
      <c r="M27" s="513">
        <f t="shared" si="12"/>
        <v>109.6084914764524</v>
      </c>
      <c r="N27" s="513">
        <f t="shared" si="12"/>
        <v>107.69230769230769</v>
      </c>
      <c r="O27" s="513">
        <f t="shared" si="12"/>
        <v>107.14285714285714</v>
      </c>
      <c r="P27" s="513">
        <f t="shared" si="12"/>
        <v>106.00859838958579</v>
      </c>
      <c r="Q27" s="513">
        <f t="shared" si="12"/>
        <v>106.90956682289948</v>
      </c>
      <c r="R27" s="513">
        <f t="shared" si="12"/>
        <v>106.5</v>
      </c>
      <c r="S27" s="513">
        <f t="shared" si="12"/>
        <v>107</v>
      </c>
      <c r="T27" s="513">
        <f t="shared" si="12"/>
        <v>107.5</v>
      </c>
      <c r="U27" s="513">
        <f t="shared" si="12"/>
        <v>107.5</v>
      </c>
      <c r="V27" s="513">
        <f t="shared" si="12"/>
        <v>107.5</v>
      </c>
      <c r="W27" s="486">
        <f t="shared" si="13"/>
        <v>105.50896535624949</v>
      </c>
      <c r="X27" s="512">
        <f t="shared" si="14"/>
        <v>107.46572030244924</v>
      </c>
      <c r="Y27" s="514">
        <f t="shared" si="15"/>
        <v>107.19925215677789</v>
      </c>
      <c r="Z27" s="515">
        <f t="shared" si="16"/>
        <v>107.33240353645314</v>
      </c>
    </row>
    <row r="28" spans="1:26" s="489" customFormat="1" ht="23.25" customHeight="1">
      <c r="A28" s="507" t="s">
        <v>281</v>
      </c>
      <c r="B28" s="490" t="s">
        <v>410</v>
      </c>
      <c r="C28" s="508" t="s">
        <v>5</v>
      </c>
      <c r="D28" s="509">
        <v>142.59605871667199</v>
      </c>
      <c r="E28" s="510"/>
      <c r="F28" s="510"/>
      <c r="G28" s="511">
        <v>67.040000000000006</v>
      </c>
      <c r="H28" s="511">
        <v>105.71659691337899</v>
      </c>
      <c r="I28" s="511">
        <v>117.499329054063</v>
      </c>
      <c r="J28" s="511">
        <v>105.820801170343</v>
      </c>
      <c r="K28" s="497"/>
      <c r="L28" s="512">
        <f t="shared" si="11"/>
        <v>106.74863046321312</v>
      </c>
      <c r="M28" s="513">
        <f t="shared" si="12"/>
        <v>105.63973063973064</v>
      </c>
      <c r="N28" s="513">
        <f t="shared" si="12"/>
        <v>103.58565737051792</v>
      </c>
      <c r="O28" s="513">
        <f t="shared" si="12"/>
        <v>105.76923076923077</v>
      </c>
      <c r="P28" s="513">
        <f t="shared" si="12"/>
        <v>103.63636363636364</v>
      </c>
      <c r="Q28" s="513">
        <f t="shared" si="12"/>
        <v>105.26315789473684</v>
      </c>
      <c r="R28" s="513">
        <f t="shared" si="12"/>
        <v>103.2</v>
      </c>
      <c r="S28" s="513">
        <f t="shared" si="12"/>
        <v>103.49999999999999</v>
      </c>
      <c r="T28" s="513">
        <f t="shared" si="12"/>
        <v>103.60000000000001</v>
      </c>
      <c r="U28" s="513">
        <f t="shared" si="12"/>
        <v>104</v>
      </c>
      <c r="V28" s="513">
        <f t="shared" si="12"/>
        <v>104.2</v>
      </c>
      <c r="W28" s="486">
        <f t="shared" si="13"/>
        <v>98.784586160696549</v>
      </c>
      <c r="X28" s="512">
        <f t="shared" si="14"/>
        <v>104.77434721297357</v>
      </c>
      <c r="Y28" s="514">
        <f t="shared" si="15"/>
        <v>103.6993829424834</v>
      </c>
      <c r="Z28" s="515">
        <f t="shared" si="16"/>
        <v>104.23547934454407</v>
      </c>
    </row>
    <row r="29" spans="1:26" s="484" customFormat="1" ht="23.25" customHeight="1">
      <c r="A29" s="499">
        <v>4</v>
      </c>
      <c r="B29" s="479" t="s">
        <v>414</v>
      </c>
      <c r="C29" s="478" t="s">
        <v>5</v>
      </c>
      <c r="D29" s="519">
        <f t="shared" ref="D29:V29" si="17">D30+D31+D35+D36</f>
        <v>100</v>
      </c>
      <c r="E29" s="519" t="e">
        <f t="shared" si="17"/>
        <v>#DIV/0!</v>
      </c>
      <c r="F29" s="519" t="e">
        <f t="shared" si="17"/>
        <v>#DIV/0!</v>
      </c>
      <c r="G29" s="519">
        <f t="shared" si="17"/>
        <v>100</v>
      </c>
      <c r="H29" s="519">
        <f t="shared" si="17"/>
        <v>100</v>
      </c>
      <c r="I29" s="519">
        <f t="shared" si="17"/>
        <v>100</v>
      </c>
      <c r="J29" s="519">
        <f t="shared" si="17"/>
        <v>100</v>
      </c>
      <c r="K29" s="519">
        <f t="shared" si="17"/>
        <v>0</v>
      </c>
      <c r="L29" s="519">
        <f t="shared" si="17"/>
        <v>100</v>
      </c>
      <c r="M29" s="519">
        <f t="shared" si="17"/>
        <v>100</v>
      </c>
      <c r="N29" s="519">
        <f t="shared" si="17"/>
        <v>99.999999999999986</v>
      </c>
      <c r="O29" s="519">
        <f t="shared" si="17"/>
        <v>99.999999999999986</v>
      </c>
      <c r="P29" s="519">
        <f t="shared" si="17"/>
        <v>100.00000000000001</v>
      </c>
      <c r="Q29" s="519">
        <f t="shared" si="17"/>
        <v>100</v>
      </c>
      <c r="R29" s="519">
        <f t="shared" si="17"/>
        <v>100</v>
      </c>
      <c r="S29" s="519">
        <f t="shared" si="17"/>
        <v>100</v>
      </c>
      <c r="T29" s="519">
        <f t="shared" si="17"/>
        <v>100</v>
      </c>
      <c r="U29" s="519">
        <f t="shared" si="17"/>
        <v>100.00000000000001</v>
      </c>
      <c r="V29" s="519">
        <f t="shared" si="17"/>
        <v>100</v>
      </c>
      <c r="W29" s="481"/>
      <c r="X29" s="482"/>
      <c r="Y29" s="483"/>
      <c r="Z29" s="482"/>
    </row>
    <row r="30" spans="1:26" s="489" customFormat="1" ht="24" customHeight="1">
      <c r="A30" s="507" t="s">
        <v>281</v>
      </c>
      <c r="B30" s="490" t="s">
        <v>214</v>
      </c>
      <c r="C30" s="491" t="s">
        <v>5</v>
      </c>
      <c r="D30" s="508">
        <v>17.480969666185267</v>
      </c>
      <c r="E30" s="497" t="e">
        <v>#DIV/0!</v>
      </c>
      <c r="F30" s="497" t="e">
        <v>#DIV/0!</v>
      </c>
      <c r="G30" s="511">
        <v>20.784400693753998</v>
      </c>
      <c r="H30" s="511">
        <v>16.694225686561857</v>
      </c>
      <c r="I30" s="511">
        <v>14.961291134239222</v>
      </c>
      <c r="J30" s="511">
        <v>13.633305363533635</v>
      </c>
      <c r="K30" s="497"/>
      <c r="L30" s="512">
        <f t="shared" ref="L30:V30" si="18">L15/L14*100</f>
        <v>12.2065119022805</v>
      </c>
      <c r="M30" s="512">
        <f t="shared" si="18"/>
        <v>11.331720048976802</v>
      </c>
      <c r="N30" s="512">
        <f t="shared" si="18"/>
        <v>10.558981847658796</v>
      </c>
      <c r="O30" s="512">
        <f t="shared" si="18"/>
        <v>10.082622539636384</v>
      </c>
      <c r="P30" s="512">
        <f t="shared" si="18"/>
        <v>9.0926519893196573</v>
      </c>
      <c r="Q30" s="512">
        <f t="shared" si="18"/>
        <v>8.3058131712529466</v>
      </c>
      <c r="R30" s="512">
        <f t="shared" si="18"/>
        <v>7.8939359861896454</v>
      </c>
      <c r="S30" s="512">
        <f t="shared" si="18"/>
        <v>7.329683704037067</v>
      </c>
      <c r="T30" s="512">
        <f t="shared" si="18"/>
        <v>7.010080949084962</v>
      </c>
      <c r="U30" s="512">
        <f t="shared" si="18"/>
        <v>6.6508102484408278</v>
      </c>
      <c r="V30" s="512">
        <f t="shared" si="18"/>
        <v>6.2391606975390195</v>
      </c>
      <c r="W30" s="486"/>
      <c r="X30" s="487"/>
      <c r="Y30" s="488"/>
      <c r="Z30" s="487"/>
    </row>
    <row r="31" spans="1:26" s="489" customFormat="1" ht="24" customHeight="1">
      <c r="A31" s="507" t="s">
        <v>281</v>
      </c>
      <c r="B31" s="490" t="s">
        <v>216</v>
      </c>
      <c r="C31" s="491" t="s">
        <v>5</v>
      </c>
      <c r="D31" s="508">
        <v>33.693747522823791</v>
      </c>
      <c r="E31" s="497" t="e">
        <v>#DIV/0!</v>
      </c>
      <c r="F31" s="497" t="e">
        <v>#DIV/0!</v>
      </c>
      <c r="G31" s="511">
        <v>28.901717027611483</v>
      </c>
      <c r="H31" s="511">
        <v>33.886004613240253</v>
      </c>
      <c r="I31" s="511">
        <v>39.795406228844683</v>
      </c>
      <c r="J31" s="511">
        <v>43.216782176938082</v>
      </c>
      <c r="K31" s="497"/>
      <c r="L31" s="512">
        <f t="shared" ref="L31:V31" si="19">L16/L14*100</f>
        <v>45.493880506409262</v>
      </c>
      <c r="M31" s="512">
        <f t="shared" si="19"/>
        <v>47.197567174767798</v>
      </c>
      <c r="N31" s="512">
        <f t="shared" si="19"/>
        <v>49.054839406551352</v>
      </c>
      <c r="O31" s="512">
        <f t="shared" si="19"/>
        <v>49.586887301818074</v>
      </c>
      <c r="P31" s="512">
        <f t="shared" si="19"/>
        <v>53.587145611883891</v>
      </c>
      <c r="Q31" s="512">
        <f t="shared" si="19"/>
        <v>56.3383604916568</v>
      </c>
      <c r="R31" s="512">
        <f t="shared" si="19"/>
        <v>57.398243556139739</v>
      </c>
      <c r="S31" s="512">
        <f t="shared" si="19"/>
        <v>59.232859479255985</v>
      </c>
      <c r="T31" s="512">
        <f t="shared" si="19"/>
        <v>59.670356990991621</v>
      </c>
      <c r="U31" s="512">
        <f t="shared" si="19"/>
        <v>60.384440900856731</v>
      </c>
      <c r="V31" s="512">
        <f t="shared" si="19"/>
        <v>61.497730426832042</v>
      </c>
      <c r="W31" s="486"/>
      <c r="X31" s="487"/>
      <c r="Y31" s="488"/>
      <c r="Z31" s="487"/>
    </row>
    <row r="32" spans="1:26" s="527" customFormat="1" ht="24" customHeight="1">
      <c r="A32" s="507" t="s">
        <v>330</v>
      </c>
      <c r="B32" s="495" t="s">
        <v>262</v>
      </c>
      <c r="C32" s="520" t="s">
        <v>5</v>
      </c>
      <c r="D32" s="517">
        <v>12.917090649955535</v>
      </c>
      <c r="E32" s="521" t="e">
        <v>#DIV/0!</v>
      </c>
      <c r="F32" s="521" t="e">
        <v>#DIV/0!</v>
      </c>
      <c r="G32" s="522">
        <v>16.367096429371671</v>
      </c>
      <c r="H32" s="522">
        <v>23.957042749524589</v>
      </c>
      <c r="I32" s="522">
        <v>31.203064915585671</v>
      </c>
      <c r="J32" s="522">
        <v>35.442699028723624</v>
      </c>
      <c r="K32" s="521"/>
      <c r="L32" s="523">
        <f t="shared" ref="L32:V32" si="20">L17/L14*100</f>
        <v>35.501766178729262</v>
      </c>
      <c r="M32" s="523">
        <f t="shared" si="20"/>
        <v>35.039075050928062</v>
      </c>
      <c r="N32" s="523">
        <f t="shared" si="20"/>
        <v>34.649167881345377</v>
      </c>
      <c r="O32" s="523">
        <f t="shared" si="20"/>
        <v>35.452831419030176</v>
      </c>
      <c r="P32" s="523">
        <f t="shared" si="20"/>
        <v>42.805906934720269</v>
      </c>
      <c r="Q32" s="523">
        <f t="shared" si="20"/>
        <v>47.235358634761667</v>
      </c>
      <c r="R32" s="523">
        <f t="shared" si="20"/>
        <v>47.269549474506121</v>
      </c>
      <c r="S32" s="523">
        <f t="shared" si="20"/>
        <v>49.41526701284441</v>
      </c>
      <c r="T32" s="523">
        <f t="shared" si="20"/>
        <v>50.051837419995337</v>
      </c>
      <c r="U32" s="523">
        <f t="shared" si="20"/>
        <v>51.374614889310642</v>
      </c>
      <c r="V32" s="523">
        <f t="shared" si="20"/>
        <v>52.963104257285863</v>
      </c>
      <c r="W32" s="524"/>
      <c r="X32" s="525"/>
      <c r="Y32" s="526"/>
      <c r="Z32" s="525"/>
    </row>
    <row r="33" spans="1:26" s="527" customFormat="1" ht="24" customHeight="1">
      <c r="A33" s="507" t="s">
        <v>330</v>
      </c>
      <c r="B33" s="495" t="s">
        <v>222</v>
      </c>
      <c r="C33" s="520" t="s">
        <v>5</v>
      </c>
      <c r="D33" s="517">
        <v>20.776656872868259</v>
      </c>
      <c r="E33" s="521" t="e">
        <v>#DIV/0!</v>
      </c>
      <c r="F33" s="521" t="e">
        <v>#DIV/0!</v>
      </c>
      <c r="G33" s="522">
        <v>12.534620598239817</v>
      </c>
      <c r="H33" s="522">
        <v>9.9289618637156671</v>
      </c>
      <c r="I33" s="522">
        <v>8.5923413132590074</v>
      </c>
      <c r="J33" s="522">
        <v>7.7740831482144586</v>
      </c>
      <c r="K33" s="521"/>
      <c r="L33" s="523">
        <f t="shared" ref="L33:V33" si="21">L18/L14*100</f>
        <v>9.9921143276800013</v>
      </c>
      <c r="M33" s="523">
        <f t="shared" si="21"/>
        <v>12.15849212383973</v>
      </c>
      <c r="N33" s="523">
        <f t="shared" si="21"/>
        <v>14.405671525205976</v>
      </c>
      <c r="O33" s="523">
        <f t="shared" si="21"/>
        <v>14.134055882787894</v>
      </c>
      <c r="P33" s="523">
        <f t="shared" si="21"/>
        <v>10.781238677163621</v>
      </c>
      <c r="Q33" s="523">
        <f t="shared" si="21"/>
        <v>9.103001856895137</v>
      </c>
      <c r="R33" s="523">
        <f t="shared" si="21"/>
        <v>10.128694081633611</v>
      </c>
      <c r="S33" s="523">
        <f t="shared" si="21"/>
        <v>9.8175924664115719</v>
      </c>
      <c r="T33" s="523">
        <f t="shared" si="21"/>
        <v>9.6185195709962859</v>
      </c>
      <c r="U33" s="523">
        <f t="shared" si="21"/>
        <v>9.0098260115460853</v>
      </c>
      <c r="V33" s="523">
        <f t="shared" si="21"/>
        <v>8.534626169546172</v>
      </c>
      <c r="W33" s="524"/>
      <c r="X33" s="525"/>
      <c r="Y33" s="526"/>
      <c r="Z33" s="525"/>
    </row>
    <row r="34" spans="1:26" s="489" customFormat="1" ht="24" customHeight="1">
      <c r="A34" s="507"/>
      <c r="B34" s="490" t="s">
        <v>147</v>
      </c>
      <c r="C34" s="491"/>
      <c r="D34" s="602">
        <f>D35+D36</f>
        <v>48.825282810990934</v>
      </c>
      <c r="E34" s="602" t="e">
        <f t="shared" ref="E34:V34" si="22">E35+E36</f>
        <v>#DIV/0!</v>
      </c>
      <c r="F34" s="602" t="e">
        <f t="shared" si="22"/>
        <v>#DIV/0!</v>
      </c>
      <c r="G34" s="508">
        <f t="shared" si="22"/>
        <v>50.313882278634523</v>
      </c>
      <c r="H34" s="602">
        <f t="shared" si="22"/>
        <v>49.41976970019789</v>
      </c>
      <c r="I34" s="602">
        <f t="shared" si="22"/>
        <v>45.243302636916106</v>
      </c>
      <c r="J34" s="602">
        <f t="shared" si="22"/>
        <v>43.149912459528295</v>
      </c>
      <c r="K34" s="602">
        <f t="shared" si="22"/>
        <v>0</v>
      </c>
      <c r="L34" s="602">
        <f t="shared" si="22"/>
        <v>42.299607591310242</v>
      </c>
      <c r="M34" s="602">
        <f t="shared" si="22"/>
        <v>41.470712776255404</v>
      </c>
      <c r="N34" s="602">
        <f t="shared" si="22"/>
        <v>40.386178745789849</v>
      </c>
      <c r="O34" s="602">
        <f t="shared" si="22"/>
        <v>40.33049015854553</v>
      </c>
      <c r="P34" s="602">
        <f t="shared" si="22"/>
        <v>37.320202398796468</v>
      </c>
      <c r="Q34" s="602">
        <f t="shared" si="22"/>
        <v>35.355826337090249</v>
      </c>
      <c r="R34" s="602">
        <f t="shared" si="22"/>
        <v>34.707820457670614</v>
      </c>
      <c r="S34" s="602">
        <f t="shared" si="22"/>
        <v>33.437456816706941</v>
      </c>
      <c r="T34" s="602">
        <f t="shared" si="22"/>
        <v>33.319562059923413</v>
      </c>
      <c r="U34" s="602">
        <f t="shared" si="22"/>
        <v>32.964748850702456</v>
      </c>
      <c r="V34" s="602">
        <f t="shared" si="22"/>
        <v>32.263108875628937</v>
      </c>
      <c r="W34" s="601"/>
      <c r="X34" s="487"/>
      <c r="Y34" s="488"/>
      <c r="Z34" s="487"/>
    </row>
    <row r="35" spans="1:26" s="489" customFormat="1" ht="24" hidden="1" customHeight="1">
      <c r="A35" s="507" t="s">
        <v>281</v>
      </c>
      <c r="B35" s="490" t="s">
        <v>147</v>
      </c>
      <c r="C35" s="491" t="s">
        <v>5</v>
      </c>
      <c r="D35" s="508">
        <v>35.993260455361117</v>
      </c>
      <c r="E35" s="497" t="e">
        <v>#DIV/0!</v>
      </c>
      <c r="F35" s="497" t="e">
        <v>#DIV/0!</v>
      </c>
      <c r="G35" s="511">
        <v>40.251412109960512</v>
      </c>
      <c r="H35" s="511">
        <v>39.668829262218104</v>
      </c>
      <c r="I35" s="511">
        <v>36.038492586818165</v>
      </c>
      <c r="J35" s="511">
        <v>34.239100420241279</v>
      </c>
      <c r="K35" s="497"/>
      <c r="L35" s="512">
        <f t="shared" ref="L35:V35" si="23">L19/L14*100</f>
        <v>33.382809942843934</v>
      </c>
      <c r="M35" s="512">
        <f t="shared" si="23"/>
        <v>32.980379247022036</v>
      </c>
      <c r="N35" s="512">
        <f t="shared" si="23"/>
        <v>32.370601284793388</v>
      </c>
      <c r="O35" s="512">
        <f t="shared" si="23"/>
        <v>32.408429591688375</v>
      </c>
      <c r="P35" s="512">
        <f t="shared" si="23"/>
        <v>30.121852907251739</v>
      </c>
      <c r="Q35" s="512">
        <f t="shared" si="23"/>
        <v>28.621383225263536</v>
      </c>
      <c r="R35" s="512">
        <f t="shared" si="23"/>
        <v>28.263621166110127</v>
      </c>
      <c r="S35" s="512">
        <f t="shared" si="23"/>
        <v>27.395507456096439</v>
      </c>
      <c r="T35" s="512">
        <f t="shared" si="23"/>
        <v>27.479052085010437</v>
      </c>
      <c r="U35" s="512">
        <f t="shared" si="23"/>
        <v>27.342477942169641</v>
      </c>
      <c r="V35" s="512">
        <f t="shared" si="23"/>
        <v>26.901350535061137</v>
      </c>
      <c r="W35" s="486"/>
      <c r="X35" s="487"/>
      <c r="Y35" s="488"/>
      <c r="Z35" s="487"/>
    </row>
    <row r="36" spans="1:26" s="489" customFormat="1" ht="24" hidden="1" customHeight="1">
      <c r="A36" s="507" t="s">
        <v>281</v>
      </c>
      <c r="B36" s="490" t="s">
        <v>410</v>
      </c>
      <c r="C36" s="491" t="s">
        <v>5</v>
      </c>
      <c r="D36" s="508">
        <v>12.832022355629816</v>
      </c>
      <c r="E36" s="497" t="e">
        <v>#DIV/0!</v>
      </c>
      <c r="F36" s="497" t="e">
        <v>#DIV/0!</v>
      </c>
      <c r="G36" s="511">
        <v>10.062470168674013</v>
      </c>
      <c r="H36" s="511">
        <v>9.7509404379797857</v>
      </c>
      <c r="I36" s="511">
        <v>9.2048100500979402</v>
      </c>
      <c r="J36" s="511">
        <v>8.9108120392870127</v>
      </c>
      <c r="K36" s="497"/>
      <c r="L36" s="512">
        <f t="shared" ref="L36:V36" si="24">L20/L14*100</f>
        <v>8.9167976484663072</v>
      </c>
      <c r="M36" s="512">
        <f t="shared" si="24"/>
        <v>8.4903335292333661</v>
      </c>
      <c r="N36" s="512">
        <f t="shared" si="24"/>
        <v>8.0155774609964592</v>
      </c>
      <c r="O36" s="512">
        <f t="shared" si="24"/>
        <v>7.9220605668571586</v>
      </c>
      <c r="P36" s="512">
        <f t="shared" si="24"/>
        <v>7.1983494915447279</v>
      </c>
      <c r="Q36" s="512">
        <f t="shared" si="24"/>
        <v>6.7344431118267138</v>
      </c>
      <c r="R36" s="512">
        <f t="shared" si="24"/>
        <v>6.4441992915604871</v>
      </c>
      <c r="S36" s="512">
        <f t="shared" si="24"/>
        <v>6.0419493606105039</v>
      </c>
      <c r="T36" s="512">
        <f t="shared" si="24"/>
        <v>5.8405099749129779</v>
      </c>
      <c r="U36" s="512">
        <f t="shared" si="24"/>
        <v>5.6222709085328146</v>
      </c>
      <c r="V36" s="512">
        <f t="shared" si="24"/>
        <v>5.3617583405678015</v>
      </c>
      <c r="W36" s="486"/>
      <c r="X36" s="487"/>
      <c r="Y36" s="488"/>
      <c r="Z36" s="487"/>
    </row>
    <row r="37" spans="1:26" s="489" customFormat="1" ht="27.75" customHeight="1">
      <c r="A37" s="507">
        <v>5</v>
      </c>
      <c r="B37" s="490" t="s">
        <v>415</v>
      </c>
      <c r="C37" s="491" t="s">
        <v>311</v>
      </c>
      <c r="D37" s="528">
        <v>44.142477833447401</v>
      </c>
      <c r="E37" s="497"/>
      <c r="F37" s="497"/>
      <c r="G37" s="511">
        <v>39.668142097903413</v>
      </c>
      <c r="H37" s="511">
        <v>44.829393446691057</v>
      </c>
      <c r="I37" s="511">
        <v>54.215520556175534</v>
      </c>
      <c r="J37" s="511">
        <v>61.075571871717457</v>
      </c>
      <c r="K37" s="497">
        <v>1300</v>
      </c>
      <c r="L37" s="512">
        <f t="shared" ref="L37:V37" si="25">L14/L63*1000</f>
        <v>68.814013225453479</v>
      </c>
      <c r="M37" s="512">
        <f t="shared" si="25"/>
        <v>77.060124531260911</v>
      </c>
      <c r="N37" s="512">
        <f t="shared" si="25"/>
        <v>85.314805702855253</v>
      </c>
      <c r="O37" s="512">
        <f t="shared" si="25"/>
        <v>92.098808113418627</v>
      </c>
      <c r="P37" s="512">
        <f t="shared" si="25"/>
        <v>105.92974635024855</v>
      </c>
      <c r="Q37" s="529">
        <f t="shared" si="25"/>
        <v>120.157050046246</v>
      </c>
      <c r="R37" s="529">
        <f t="shared" si="25"/>
        <v>130.6070334614777</v>
      </c>
      <c r="S37" s="529">
        <f t="shared" si="25"/>
        <v>145.27427289830854</v>
      </c>
      <c r="T37" s="529">
        <f t="shared" si="25"/>
        <v>156.83874973837789</v>
      </c>
      <c r="U37" s="529">
        <f t="shared" si="25"/>
        <v>170.64614013839071</v>
      </c>
      <c r="V37" s="529">
        <f t="shared" si="25"/>
        <v>187.7305529149086</v>
      </c>
      <c r="W37" s="512">
        <f>((L37/D37)^(1/5)-1)*100</f>
        <v>9.2858755008484728</v>
      </c>
      <c r="X37" s="512">
        <f>((Q37/L37)^(1/5)-1)*100</f>
        <v>11.792964849353949</v>
      </c>
      <c r="Y37" s="530">
        <f>((V37/Q37)^(1/5)-1)*100</f>
        <v>9.3344791408350716</v>
      </c>
      <c r="Z37" s="512">
        <f>((V37/L37)^(1/10)-1)*100</f>
        <v>10.556888448498757</v>
      </c>
    </row>
    <row r="38" spans="1:26" s="489" customFormat="1" ht="30" customHeight="1">
      <c r="A38" s="507">
        <v>6</v>
      </c>
      <c r="B38" s="490" t="s">
        <v>416</v>
      </c>
      <c r="C38" s="491" t="s">
        <v>417</v>
      </c>
      <c r="D38" s="497" t="s">
        <v>281</v>
      </c>
      <c r="E38" s="497"/>
      <c r="F38" s="497"/>
      <c r="G38" s="511">
        <v>2.1442100000000002</v>
      </c>
      <c r="H38" s="511" t="s">
        <v>281</v>
      </c>
      <c r="I38" s="511">
        <v>2.5756299999999999</v>
      </c>
      <c r="J38" s="511" t="s">
        <v>281</v>
      </c>
      <c r="K38" s="497"/>
      <c r="L38" s="512">
        <v>3</v>
      </c>
      <c r="M38" s="531"/>
      <c r="N38" s="532">
        <v>3.5</v>
      </c>
      <c r="O38" s="531"/>
      <c r="P38" s="532">
        <v>4.3</v>
      </c>
      <c r="Q38" s="533"/>
      <c r="R38" s="533">
        <v>4.7</v>
      </c>
      <c r="S38" s="534"/>
      <c r="T38" s="534">
        <v>5.12</v>
      </c>
      <c r="U38" s="534"/>
      <c r="V38" s="534">
        <v>5.9</v>
      </c>
      <c r="W38" s="512"/>
      <c r="X38" s="512"/>
      <c r="Y38" s="530"/>
      <c r="Z38" s="512"/>
    </row>
    <row r="39" spans="1:26" s="489" customFormat="1" ht="27.75" customHeight="1">
      <c r="A39" s="507">
        <v>7</v>
      </c>
      <c r="B39" s="490" t="s">
        <v>418</v>
      </c>
      <c r="C39" s="491" t="s">
        <v>419</v>
      </c>
      <c r="D39" s="497">
        <v>76.42</v>
      </c>
      <c r="E39" s="497"/>
      <c r="F39" s="497"/>
      <c r="G39" s="511">
        <v>71.89</v>
      </c>
      <c r="H39" s="511">
        <v>82.09</v>
      </c>
      <c r="I39" s="511">
        <v>100.36</v>
      </c>
      <c r="J39" s="511">
        <v>113.0646169461845</v>
      </c>
      <c r="K39" s="497"/>
      <c r="L39" s="497">
        <f t="shared" ref="L39:V39" si="26">L14/L88*1000</f>
        <v>129.37857764629271</v>
      </c>
      <c r="M39" s="497">
        <f t="shared" si="26"/>
        <v>146.21357119014266</v>
      </c>
      <c r="N39" s="497">
        <f t="shared" si="26"/>
        <v>162.32024801511378</v>
      </c>
      <c r="O39" s="497">
        <f t="shared" si="26"/>
        <v>179.07360408835808</v>
      </c>
      <c r="P39" s="497">
        <f t="shared" si="26"/>
        <v>207.12808923743609</v>
      </c>
      <c r="Q39" s="535">
        <f t="shared" si="26"/>
        <v>238.06011489208643</v>
      </c>
      <c r="R39" s="535">
        <f t="shared" si="26"/>
        <v>261.32456739381723</v>
      </c>
      <c r="S39" s="535">
        <f t="shared" si="26"/>
        <v>293.17123004677563</v>
      </c>
      <c r="T39" s="535">
        <f t="shared" si="26"/>
        <v>309.19796575719732</v>
      </c>
      <c r="U39" s="535">
        <f t="shared" si="26"/>
        <v>339.31158634379176</v>
      </c>
      <c r="V39" s="535">
        <f t="shared" si="26"/>
        <v>385.98963333663289</v>
      </c>
      <c r="W39" s="512">
        <f>((L39/D39)^(1/5)-1)*100</f>
        <v>11.104351241952482</v>
      </c>
      <c r="X39" s="512">
        <f>((Q39/L39)^(1/5)-1)*100</f>
        <v>12.970448597126417</v>
      </c>
      <c r="Y39" s="530">
        <f>((V39/Q39)^(1/5)-1)*100</f>
        <v>10.148300416329281</v>
      </c>
      <c r="Z39" s="512">
        <f>((V39/L39)^(1/10)-1)*100</f>
        <v>11.550450067419128</v>
      </c>
    </row>
    <row r="40" spans="1:26" s="489" customFormat="1" ht="27.75" customHeight="1">
      <c r="A40" s="507">
        <v>8</v>
      </c>
      <c r="B40" s="490" t="s">
        <v>420</v>
      </c>
      <c r="C40" s="491" t="s">
        <v>30</v>
      </c>
      <c r="D40" s="497">
        <f t="shared" ref="D40:V40" si="27">D41+D42</f>
        <v>12125.263523898</v>
      </c>
      <c r="E40" s="497">
        <f t="shared" si="27"/>
        <v>0</v>
      </c>
      <c r="F40" s="497">
        <f t="shared" si="27"/>
        <v>0</v>
      </c>
      <c r="G40" s="497">
        <f t="shared" si="27"/>
        <v>7532.3745086949993</v>
      </c>
      <c r="H40" s="497">
        <f t="shared" si="27"/>
        <v>8936.2317821380002</v>
      </c>
      <c r="I40" s="497">
        <f t="shared" si="27"/>
        <v>12740.057609178</v>
      </c>
      <c r="J40" s="497">
        <f t="shared" si="27"/>
        <v>13785.8</v>
      </c>
      <c r="K40" s="497">
        <f t="shared" si="27"/>
        <v>0</v>
      </c>
      <c r="L40" s="497">
        <f t="shared" si="27"/>
        <v>14700</v>
      </c>
      <c r="M40" s="497">
        <f t="shared" si="27"/>
        <v>15642.7</v>
      </c>
      <c r="N40" s="497">
        <f t="shared" si="27"/>
        <v>16776</v>
      </c>
      <c r="O40" s="497">
        <f t="shared" si="27"/>
        <v>18453.599999999999</v>
      </c>
      <c r="P40" s="497">
        <f t="shared" si="27"/>
        <v>20298.96</v>
      </c>
      <c r="Q40" s="497">
        <f t="shared" si="27"/>
        <v>26000</v>
      </c>
      <c r="R40" s="497">
        <f t="shared" si="27"/>
        <v>21796</v>
      </c>
      <c r="S40" s="497">
        <f t="shared" si="27"/>
        <v>22531</v>
      </c>
      <c r="T40" s="497">
        <f t="shared" si="27"/>
        <v>23302.75</v>
      </c>
      <c r="U40" s="497">
        <f t="shared" si="27"/>
        <v>24113.087500000001</v>
      </c>
      <c r="V40" s="497">
        <f t="shared" si="27"/>
        <v>24963.941875000004</v>
      </c>
      <c r="W40" s="512"/>
      <c r="X40" s="512"/>
      <c r="Y40" s="530"/>
      <c r="Z40" s="487"/>
    </row>
    <row r="41" spans="1:26" s="527" customFormat="1" ht="25.5" customHeight="1">
      <c r="A41" s="516" t="s">
        <v>281</v>
      </c>
      <c r="B41" s="495" t="s">
        <v>309</v>
      </c>
      <c r="C41" s="520" t="s">
        <v>30</v>
      </c>
      <c r="D41" s="521">
        <v>7086</v>
      </c>
      <c r="E41" s="521"/>
      <c r="F41" s="521"/>
      <c r="G41" s="536">
        <v>5510.4</v>
      </c>
      <c r="H41" s="536">
        <v>6025.2</v>
      </c>
      <c r="I41" s="536">
        <v>6757</v>
      </c>
      <c r="J41" s="536">
        <v>7250</v>
      </c>
      <c r="K41" s="521"/>
      <c r="L41" s="521">
        <v>8000</v>
      </c>
      <c r="M41" s="521">
        <f>L41*110%</f>
        <v>8800</v>
      </c>
      <c r="N41" s="521">
        <f>M41*110%</f>
        <v>9680</v>
      </c>
      <c r="O41" s="521">
        <f>N41*110%</f>
        <v>10648</v>
      </c>
      <c r="P41" s="521">
        <f>O41*110%</f>
        <v>11712.800000000001</v>
      </c>
      <c r="Q41" s="521">
        <v>14000</v>
      </c>
      <c r="R41" s="521">
        <f>Q41*105%</f>
        <v>14700</v>
      </c>
      <c r="S41" s="521">
        <f>R41*105%</f>
        <v>15435</v>
      </c>
      <c r="T41" s="521">
        <f>S41*105%</f>
        <v>16206.75</v>
      </c>
      <c r="U41" s="521">
        <f>T41*105%</f>
        <v>17017.087500000001</v>
      </c>
      <c r="V41" s="521">
        <f>U41*105%</f>
        <v>17867.941875000004</v>
      </c>
      <c r="W41" s="512"/>
      <c r="X41" s="512"/>
      <c r="Y41" s="530"/>
      <c r="Z41" s="525"/>
    </row>
    <row r="42" spans="1:26" s="527" customFormat="1" ht="25.5" customHeight="1">
      <c r="A42" s="516" t="s">
        <v>281</v>
      </c>
      <c r="B42" s="495" t="s">
        <v>310</v>
      </c>
      <c r="C42" s="520" t="s">
        <v>30</v>
      </c>
      <c r="D42" s="537">
        <v>5039.2635238980001</v>
      </c>
      <c r="E42" s="537"/>
      <c r="F42" s="537"/>
      <c r="G42" s="538">
        <v>2021.9745086949999</v>
      </c>
      <c r="H42" s="538">
        <v>2911.0317821379999</v>
      </c>
      <c r="I42" s="539">
        <v>5983.0576091780003</v>
      </c>
      <c r="J42" s="539">
        <v>6535.8</v>
      </c>
      <c r="K42" s="540"/>
      <c r="L42" s="540">
        <v>6700</v>
      </c>
      <c r="M42" s="540">
        <v>6842.7</v>
      </c>
      <c r="N42" s="540">
        <v>7096</v>
      </c>
      <c r="O42" s="540">
        <v>7805.6</v>
      </c>
      <c r="P42" s="494">
        <v>8586.16</v>
      </c>
      <c r="Q42" s="494">
        <v>12000</v>
      </c>
      <c r="R42" s="494">
        <f>N42</f>
        <v>7096</v>
      </c>
      <c r="S42" s="494">
        <f>R42</f>
        <v>7096</v>
      </c>
      <c r="T42" s="494">
        <v>7096</v>
      </c>
      <c r="U42" s="494">
        <f>T42</f>
        <v>7096</v>
      </c>
      <c r="V42" s="494">
        <f>R42</f>
        <v>7096</v>
      </c>
      <c r="W42" s="512"/>
      <c r="X42" s="512"/>
      <c r="Y42" s="530"/>
      <c r="Z42" s="525"/>
    </row>
    <row r="43" spans="1:26" s="527" customFormat="1" ht="31.5" customHeight="1">
      <c r="A43" s="507">
        <v>9</v>
      </c>
      <c r="B43" s="490" t="s">
        <v>421</v>
      </c>
      <c r="C43" s="520" t="s">
        <v>30</v>
      </c>
      <c r="D43" s="494">
        <v>38064.1</v>
      </c>
      <c r="E43" s="494"/>
      <c r="F43" s="494"/>
      <c r="G43" s="492">
        <v>35745.5</v>
      </c>
      <c r="H43" s="492">
        <v>37913.1</v>
      </c>
      <c r="I43" s="492">
        <v>42783.74</v>
      </c>
      <c r="J43" s="492">
        <v>46532.33</v>
      </c>
      <c r="K43" s="494"/>
      <c r="L43" s="494">
        <v>51720.86</v>
      </c>
      <c r="M43" s="494">
        <v>58532.497261999997</v>
      </c>
      <c r="N43" s="494">
        <v>66756.313127311005</v>
      </c>
      <c r="O43" s="494">
        <v>76816.489515596768</v>
      </c>
      <c r="P43" s="494">
        <v>88876.678369545465</v>
      </c>
      <c r="Q43" s="494">
        <v>103008.0702303032</v>
      </c>
      <c r="R43" s="494">
        <v>118459.28076484868</v>
      </c>
      <c r="S43" s="494">
        <v>136228.17287957596</v>
      </c>
      <c r="T43" s="494">
        <v>157343.53967591023</v>
      </c>
      <c r="U43" s="494">
        <v>179371.63523053765</v>
      </c>
      <c r="V43" s="494">
        <v>206277.38051511828</v>
      </c>
      <c r="W43" s="541"/>
      <c r="X43" s="525"/>
      <c r="Y43" s="526"/>
      <c r="Z43" s="525"/>
    </row>
    <row r="44" spans="1:26" s="527" customFormat="1" ht="24" customHeight="1">
      <c r="A44" s="507">
        <v>10</v>
      </c>
      <c r="B44" s="490" t="s">
        <v>422</v>
      </c>
      <c r="C44" s="520" t="s">
        <v>423</v>
      </c>
      <c r="D44" s="494">
        <v>1599000</v>
      </c>
      <c r="E44" s="494">
        <v>1100000</v>
      </c>
      <c r="F44" s="494">
        <v>1400000</v>
      </c>
      <c r="G44" s="492">
        <v>1600000</v>
      </c>
      <c r="H44" s="492">
        <v>1750000</v>
      </c>
      <c r="I44" s="492">
        <v>1600000</v>
      </c>
      <c r="J44" s="492">
        <v>1750000</v>
      </c>
      <c r="K44" s="494"/>
      <c r="L44" s="494">
        <v>1800000</v>
      </c>
      <c r="M44" s="494">
        <v>1850000</v>
      </c>
      <c r="N44" s="494">
        <v>1950000</v>
      </c>
      <c r="O44" s="494">
        <v>2130000</v>
      </c>
      <c r="P44" s="494">
        <v>2250000</v>
      </c>
      <c r="Q44" s="494">
        <v>2400000</v>
      </c>
      <c r="R44" s="494">
        <v>2500000</v>
      </c>
      <c r="S44" s="494">
        <v>2600000</v>
      </c>
      <c r="T44" s="494">
        <v>2750000</v>
      </c>
      <c r="U44" s="494">
        <v>2850000</v>
      </c>
      <c r="V44" s="494">
        <v>3000000</v>
      </c>
      <c r="W44" s="541"/>
      <c r="X44" s="525"/>
      <c r="Y44" s="526"/>
      <c r="Z44" s="525"/>
    </row>
    <row r="45" spans="1:26" s="489" customFormat="1" ht="32.25" customHeight="1">
      <c r="A45" s="507">
        <v>11</v>
      </c>
      <c r="B45" s="490" t="s">
        <v>424</v>
      </c>
      <c r="C45" s="491" t="s">
        <v>361</v>
      </c>
      <c r="D45" s="542">
        <v>124.13</v>
      </c>
      <c r="E45" s="542">
        <v>971.65872000000002</v>
      </c>
      <c r="F45" s="542">
        <v>1578.976402</v>
      </c>
      <c r="G45" s="543">
        <v>130.43</v>
      </c>
      <c r="H45" s="543">
        <v>296</v>
      </c>
      <c r="I45" s="543">
        <v>794</v>
      </c>
      <c r="J45" s="543">
        <v>850</v>
      </c>
      <c r="K45" s="542"/>
      <c r="L45" s="542">
        <v>1200</v>
      </c>
      <c r="M45" s="542">
        <v>1300</v>
      </c>
      <c r="N45" s="542">
        <v>1350</v>
      </c>
      <c r="O45" s="542">
        <v>1400</v>
      </c>
      <c r="P45" s="542">
        <v>1500</v>
      </c>
      <c r="Q45" s="542">
        <v>2000</v>
      </c>
      <c r="R45" s="542">
        <v>2200</v>
      </c>
      <c r="S45" s="542">
        <v>2500</v>
      </c>
      <c r="T45" s="542">
        <v>3000</v>
      </c>
      <c r="U45" s="542">
        <v>3500</v>
      </c>
      <c r="V45" s="542">
        <v>3800</v>
      </c>
      <c r="W45" s="486"/>
      <c r="X45" s="487"/>
      <c r="Y45" s="488"/>
      <c r="Z45" s="487"/>
    </row>
    <row r="46" spans="1:26" s="489" customFormat="1" ht="32.25" customHeight="1">
      <c r="A46" s="507">
        <v>12</v>
      </c>
      <c r="B46" s="490" t="s">
        <v>425</v>
      </c>
      <c r="C46" s="491" t="s">
        <v>409</v>
      </c>
      <c r="D46" s="497">
        <v>30647</v>
      </c>
      <c r="E46" s="497"/>
      <c r="F46" s="497"/>
      <c r="G46" s="497">
        <v>34196</v>
      </c>
      <c r="H46" s="497">
        <v>41681.021000000001</v>
      </c>
      <c r="I46" s="497">
        <v>48498.03</v>
      </c>
      <c r="J46" s="497">
        <f>I46*1.175</f>
        <v>56985.185250000002</v>
      </c>
      <c r="K46" s="497"/>
      <c r="L46" s="497">
        <v>66102.814889999994</v>
      </c>
      <c r="M46" s="497">
        <v>76679.265272400007</v>
      </c>
      <c r="N46" s="497">
        <v>88947.947715984003</v>
      </c>
      <c r="O46" s="497">
        <v>103179.619350541</v>
      </c>
      <c r="P46" s="497">
        <v>119688.358446628</v>
      </c>
      <c r="Q46" s="497">
        <v>138838.49579808899</v>
      </c>
      <c r="R46" s="497">
        <v>161052.655125783</v>
      </c>
      <c r="S46" s="497">
        <v>186821.07994590799</v>
      </c>
      <c r="T46" s="497">
        <v>216712.45273725301</v>
      </c>
      <c r="U46" s="497">
        <v>251386.445175214</v>
      </c>
      <c r="V46" s="497">
        <v>291608.27640324802</v>
      </c>
      <c r="W46" s="497">
        <v>49492.610227999998</v>
      </c>
      <c r="X46" s="544">
        <v>105466.737316728</v>
      </c>
      <c r="Y46" s="497">
        <v>221516.18187748099</v>
      </c>
      <c r="Z46" s="487"/>
    </row>
    <row r="47" spans="1:26" s="489" customFormat="1" ht="32.25" customHeight="1">
      <c r="A47" s="507">
        <v>13</v>
      </c>
      <c r="B47" s="490" t="s">
        <v>426</v>
      </c>
      <c r="C47" s="491" t="s">
        <v>409</v>
      </c>
      <c r="D47" s="497">
        <v>26883</v>
      </c>
      <c r="E47" s="497"/>
      <c r="F47" s="497"/>
      <c r="G47" s="510">
        <v>33093</v>
      </c>
      <c r="H47" s="510">
        <v>37870.752999999997</v>
      </c>
      <c r="I47" s="510">
        <v>43264.178999999996</v>
      </c>
      <c r="J47" s="510">
        <v>51917.014799999997</v>
      </c>
      <c r="K47" s="510"/>
      <c r="L47" s="510">
        <v>59964.152093999997</v>
      </c>
      <c r="M47" s="510">
        <v>68958.774908099993</v>
      </c>
      <c r="N47" s="510">
        <v>79302.591144314996</v>
      </c>
      <c r="O47" s="510">
        <v>91197.979815962201</v>
      </c>
      <c r="P47" s="510">
        <v>104877.676788357</v>
      </c>
      <c r="Q47" s="510">
        <v>120609.32830661</v>
      </c>
      <c r="R47" s="510">
        <v>138700.72755260201</v>
      </c>
      <c r="S47" s="510">
        <v>159505.83668549199</v>
      </c>
      <c r="T47" s="510">
        <v>183431.712188315</v>
      </c>
      <c r="U47" s="510">
        <v>210946.469016563</v>
      </c>
      <c r="V47" s="510">
        <v>242588.439369047</v>
      </c>
      <c r="W47" s="510">
        <v>45221.819778800003</v>
      </c>
      <c r="X47" s="510">
        <v>92989.270192668802</v>
      </c>
      <c r="Y47" s="510">
        <v>187034.63696240401</v>
      </c>
      <c r="Z47" s="487"/>
    </row>
    <row r="48" spans="1:26" s="489" customFormat="1" ht="43.5" customHeight="1">
      <c r="A48" s="507">
        <v>14</v>
      </c>
      <c r="B48" s="487" t="s">
        <v>427</v>
      </c>
      <c r="C48" s="491" t="s">
        <v>295</v>
      </c>
      <c r="D48" s="545">
        <v>70</v>
      </c>
      <c r="E48" s="545">
        <v>80</v>
      </c>
      <c r="F48" s="545">
        <v>75</v>
      </c>
      <c r="G48" s="545">
        <v>80</v>
      </c>
      <c r="H48" s="545">
        <v>75</v>
      </c>
      <c r="I48" s="545">
        <v>82</v>
      </c>
      <c r="J48" s="545">
        <v>86</v>
      </c>
      <c r="K48" s="545">
        <v>105</v>
      </c>
      <c r="L48" s="545">
        <v>90</v>
      </c>
      <c r="M48" s="545">
        <v>125</v>
      </c>
      <c r="N48" s="545">
        <v>105</v>
      </c>
      <c r="O48" s="493">
        <v>115</v>
      </c>
      <c r="P48" s="493">
        <v>125</v>
      </c>
      <c r="Q48" s="493">
        <v>130</v>
      </c>
      <c r="R48" s="493">
        <v>135</v>
      </c>
      <c r="S48" s="546">
        <v>137</v>
      </c>
      <c r="T48" s="546">
        <v>138</v>
      </c>
      <c r="U48" s="486">
        <v>114.6</v>
      </c>
      <c r="V48" s="486">
        <v>137.80000000000001</v>
      </c>
      <c r="W48" s="486"/>
      <c r="X48" s="487"/>
      <c r="Y48" s="488"/>
      <c r="Z48" s="487"/>
    </row>
    <row r="49" spans="1:26" s="489" customFormat="1" ht="33.75" customHeight="1">
      <c r="A49" s="507">
        <v>15</v>
      </c>
      <c r="B49" s="487" t="s">
        <v>428</v>
      </c>
      <c r="C49" s="491" t="s">
        <v>5</v>
      </c>
      <c r="D49" s="547">
        <v>48.78</v>
      </c>
      <c r="E49" s="547">
        <v>52.8</v>
      </c>
      <c r="F49" s="547">
        <v>50</v>
      </c>
      <c r="G49" s="547">
        <v>52.8</v>
      </c>
      <c r="H49" s="547">
        <v>50</v>
      </c>
      <c r="I49" s="547">
        <v>52.8</v>
      </c>
      <c r="J49" s="547">
        <v>53.2</v>
      </c>
      <c r="K49" s="547" t="s">
        <v>392</v>
      </c>
      <c r="L49" s="547" t="s">
        <v>392</v>
      </c>
      <c r="M49" s="547" t="s">
        <v>392</v>
      </c>
      <c r="N49" s="547" t="s">
        <v>392</v>
      </c>
      <c r="O49" s="547" t="s">
        <v>392</v>
      </c>
      <c r="P49" s="547" t="s">
        <v>392</v>
      </c>
      <c r="Q49" s="547" t="s">
        <v>392</v>
      </c>
      <c r="R49" s="547" t="s">
        <v>392</v>
      </c>
      <c r="S49" s="547" t="s">
        <v>392</v>
      </c>
      <c r="T49" s="547" t="s">
        <v>392</v>
      </c>
      <c r="U49" s="547" t="s">
        <v>392</v>
      </c>
      <c r="V49" s="547" t="s">
        <v>392</v>
      </c>
      <c r="W49" s="486"/>
      <c r="X49" s="487"/>
      <c r="Y49" s="488"/>
      <c r="Z49" s="487"/>
    </row>
    <row r="50" spans="1:26" s="489" customFormat="1" ht="33.75" customHeight="1">
      <c r="A50" s="507">
        <v>16</v>
      </c>
      <c r="B50" s="487" t="s">
        <v>429</v>
      </c>
      <c r="C50" s="548" t="s">
        <v>409</v>
      </c>
      <c r="D50" s="547">
        <f t="shared" ref="D50:V50" si="28">D51+D52+D53</f>
        <v>87432.066000000006</v>
      </c>
      <c r="E50" s="547">
        <f t="shared" si="28"/>
        <v>0</v>
      </c>
      <c r="F50" s="547">
        <f t="shared" si="28"/>
        <v>0</v>
      </c>
      <c r="G50" s="547">
        <f t="shared" si="28"/>
        <v>41669.739000000001</v>
      </c>
      <c r="H50" s="547">
        <f t="shared" si="28"/>
        <v>32040.775000000001</v>
      </c>
      <c r="I50" s="547">
        <f t="shared" si="28"/>
        <v>32747.824000000001</v>
      </c>
      <c r="J50" s="549">
        <f t="shared" si="28"/>
        <v>27388.897575964002</v>
      </c>
      <c r="K50" s="549">
        <f t="shared" si="28"/>
        <v>0</v>
      </c>
      <c r="L50" s="549">
        <f t="shared" si="28"/>
        <v>38220.407800000001</v>
      </c>
      <c r="M50" s="492">
        <f t="shared" si="28"/>
        <v>63702.89</v>
      </c>
      <c r="N50" s="492">
        <f t="shared" si="28"/>
        <v>75567.820000000007</v>
      </c>
      <c r="O50" s="492">
        <f t="shared" si="28"/>
        <v>78381</v>
      </c>
      <c r="P50" s="492">
        <f t="shared" si="28"/>
        <v>59009</v>
      </c>
      <c r="Q50" s="492">
        <f t="shared" si="28"/>
        <v>57249</v>
      </c>
      <c r="R50" s="492">
        <f t="shared" si="28"/>
        <v>68000</v>
      </c>
      <c r="S50" s="492">
        <f t="shared" si="28"/>
        <v>73000</v>
      </c>
      <c r="T50" s="492">
        <f t="shared" si="28"/>
        <v>75000</v>
      </c>
      <c r="U50" s="492">
        <f t="shared" si="28"/>
        <v>68000</v>
      </c>
      <c r="V50" s="492">
        <f t="shared" si="28"/>
        <v>68000</v>
      </c>
      <c r="W50" s="512">
        <f>((L50/D50)^(1/5)-1)*100</f>
        <v>-15.252886468844295</v>
      </c>
      <c r="X50" s="512">
        <f>((Q50/L50)^(1/5)-1)*100</f>
        <v>8.4162840169883957</v>
      </c>
      <c r="Y50" s="530">
        <f>((V50/Q50)^(1/5)-1)*100</f>
        <v>3.5018712256359441</v>
      </c>
      <c r="Z50" s="487"/>
    </row>
    <row r="51" spans="1:26" s="489" customFormat="1" ht="29.25" customHeight="1">
      <c r="A51" s="550"/>
      <c r="B51" s="550" t="s">
        <v>430</v>
      </c>
      <c r="C51" s="548" t="s">
        <v>409</v>
      </c>
      <c r="D51" s="551">
        <v>7251.04</v>
      </c>
      <c r="E51" s="550"/>
      <c r="F51" s="550"/>
      <c r="G51" s="550">
        <v>5948.7659999999996</v>
      </c>
      <c r="H51" s="550">
        <v>5378.2849999999999</v>
      </c>
      <c r="I51" s="550">
        <v>4959.46</v>
      </c>
      <c r="J51" s="550">
        <f>7434128.575964/1000</f>
        <v>7434.1285759640004</v>
      </c>
      <c r="K51" s="550"/>
      <c r="L51" s="550">
        <f>[3]VĐT!F7</f>
        <v>7472.9769999999999</v>
      </c>
      <c r="M51" s="550">
        <f>[3]VĐT!G7</f>
        <v>7500</v>
      </c>
      <c r="N51" s="550">
        <f>[3]VĐT!H7</f>
        <v>8000</v>
      </c>
      <c r="O51" s="550">
        <f>[3]VĐT!I7</f>
        <v>8000</v>
      </c>
      <c r="P51" s="550">
        <f>[3]VĐT!J7</f>
        <v>8000</v>
      </c>
      <c r="Q51" s="550">
        <f>[3]VĐT!K7</f>
        <v>8000</v>
      </c>
      <c r="R51" s="552">
        <v>8000</v>
      </c>
      <c r="S51" s="494">
        <v>8000</v>
      </c>
      <c r="T51" s="494">
        <v>8000</v>
      </c>
      <c r="U51" s="494">
        <v>8000</v>
      </c>
      <c r="V51" s="494">
        <v>8000</v>
      </c>
      <c r="W51" s="486"/>
      <c r="X51" s="487"/>
      <c r="Y51" s="488"/>
      <c r="Z51" s="487"/>
    </row>
    <row r="52" spans="1:26" s="489" customFormat="1" ht="29.25" customHeight="1">
      <c r="A52" s="550"/>
      <c r="B52" s="550" t="s">
        <v>431</v>
      </c>
      <c r="C52" s="548" t="s">
        <v>409</v>
      </c>
      <c r="D52" s="551">
        <v>10861.897000000001</v>
      </c>
      <c r="E52" s="550"/>
      <c r="F52" s="550"/>
      <c r="G52" s="550">
        <v>10691.069</v>
      </c>
      <c r="H52" s="550">
        <v>12645.306</v>
      </c>
      <c r="I52" s="550">
        <v>11483.687</v>
      </c>
      <c r="J52" s="550">
        <f>14185745/1000</f>
        <v>14185.745000000001</v>
      </c>
      <c r="K52" s="550"/>
      <c r="L52" s="550">
        <f>[3]VĐT!F8</f>
        <v>14030.24</v>
      </c>
      <c r="M52" s="550">
        <f>[3]VĐT!G8</f>
        <v>20943</v>
      </c>
      <c r="N52" s="550">
        <f>[3]VĐT!H8</f>
        <v>22917.82</v>
      </c>
      <c r="O52" s="550">
        <f>[3]VĐT!I8</f>
        <v>23181</v>
      </c>
      <c r="P52" s="550">
        <f>[3]VĐT!J8</f>
        <v>25049</v>
      </c>
      <c r="Q52" s="550">
        <f>[3]VĐT!K8</f>
        <v>27964</v>
      </c>
      <c r="R52" s="552">
        <v>25000</v>
      </c>
      <c r="S52" s="494">
        <v>25000</v>
      </c>
      <c r="T52" s="494">
        <v>27000</v>
      </c>
      <c r="U52" s="494">
        <v>20000</v>
      </c>
      <c r="V52" s="494">
        <v>20000</v>
      </c>
      <c r="W52" s="486"/>
      <c r="X52" s="487"/>
      <c r="Y52" s="488"/>
      <c r="Z52" s="487"/>
    </row>
    <row r="53" spans="1:26" s="489" customFormat="1" ht="33.75" customHeight="1">
      <c r="A53" s="550"/>
      <c r="B53" s="550" t="s">
        <v>432</v>
      </c>
      <c r="C53" s="548" t="s">
        <v>409</v>
      </c>
      <c r="D53" s="551">
        <v>69319.129000000001</v>
      </c>
      <c r="E53" s="550"/>
      <c r="F53" s="550"/>
      <c r="G53" s="550">
        <v>25029.903999999999</v>
      </c>
      <c r="H53" s="550">
        <v>14017.183999999999</v>
      </c>
      <c r="I53" s="550">
        <v>16304.677</v>
      </c>
      <c r="J53" s="550">
        <f>5769024/1000</f>
        <v>5769.0240000000003</v>
      </c>
      <c r="K53" s="550"/>
      <c r="L53" s="550">
        <f>[3]VĐT!F43</f>
        <v>16717.1908</v>
      </c>
      <c r="M53" s="550">
        <f>[3]VĐT!G43</f>
        <v>35259.89</v>
      </c>
      <c r="N53" s="550">
        <f>[3]VĐT!H43</f>
        <v>44650</v>
      </c>
      <c r="O53" s="550">
        <f>[3]VĐT!I43</f>
        <v>47200</v>
      </c>
      <c r="P53" s="550">
        <f>[3]VĐT!J43</f>
        <v>25960</v>
      </c>
      <c r="Q53" s="550">
        <f>[3]VĐT!K43</f>
        <v>21285</v>
      </c>
      <c r="R53" s="552">
        <v>35000</v>
      </c>
      <c r="S53" s="494">
        <v>40000</v>
      </c>
      <c r="T53" s="494">
        <v>40000</v>
      </c>
      <c r="U53" s="494">
        <v>40000</v>
      </c>
      <c r="V53" s="494">
        <v>40000</v>
      </c>
      <c r="W53" s="486"/>
      <c r="X53" s="487"/>
      <c r="Y53" s="488"/>
      <c r="Z53" s="487"/>
    </row>
    <row r="54" spans="1:26" s="484" customFormat="1" ht="33" customHeight="1">
      <c r="A54" s="499" t="s">
        <v>100</v>
      </c>
      <c r="B54" s="482" t="s">
        <v>433</v>
      </c>
      <c r="C54" s="478"/>
      <c r="D54" s="553"/>
      <c r="E54" s="485"/>
      <c r="F54" s="485"/>
      <c r="G54" s="554"/>
      <c r="H54" s="554"/>
      <c r="I54" s="554"/>
      <c r="J54" s="554"/>
      <c r="K54" s="485"/>
      <c r="L54" s="485"/>
      <c r="M54" s="485"/>
      <c r="N54" s="485"/>
      <c r="O54" s="485"/>
      <c r="P54" s="485"/>
      <c r="Q54" s="485"/>
      <c r="R54" s="485"/>
      <c r="S54" s="481"/>
      <c r="T54" s="481"/>
      <c r="U54" s="481"/>
      <c r="V54" s="481"/>
      <c r="W54" s="481"/>
      <c r="X54" s="482"/>
      <c r="Y54" s="483"/>
      <c r="Z54" s="482"/>
    </row>
    <row r="55" spans="1:26" s="489" customFormat="1" ht="26.25" customHeight="1">
      <c r="A55" s="507">
        <v>1</v>
      </c>
      <c r="B55" s="487" t="s">
        <v>352</v>
      </c>
      <c r="C55" s="491" t="s">
        <v>5</v>
      </c>
      <c r="D55" s="510">
        <v>22.7</v>
      </c>
      <c r="E55" s="493"/>
      <c r="F55" s="493"/>
      <c r="G55" s="555">
        <v>35.799999999999997</v>
      </c>
      <c r="H55" s="555">
        <v>50.2</v>
      </c>
      <c r="I55" s="555">
        <v>69.400000000000006</v>
      </c>
      <c r="J55" s="556">
        <v>87.7</v>
      </c>
      <c r="K55" s="493"/>
      <c r="L55" s="493">
        <v>93</v>
      </c>
      <c r="M55" s="498">
        <v>97.3</v>
      </c>
      <c r="N55" s="492">
        <v>100</v>
      </c>
      <c r="O55" s="492">
        <v>100</v>
      </c>
      <c r="P55" s="492">
        <v>100</v>
      </c>
      <c r="Q55" s="492">
        <v>100</v>
      </c>
      <c r="R55" s="492">
        <v>100</v>
      </c>
      <c r="S55" s="545">
        <v>100</v>
      </c>
      <c r="T55" s="545">
        <v>100</v>
      </c>
      <c r="U55" s="545">
        <v>100</v>
      </c>
      <c r="V55" s="545">
        <v>100</v>
      </c>
      <c r="W55" s="486"/>
      <c r="X55" s="487"/>
      <c r="Y55" s="488"/>
      <c r="Z55" s="487"/>
    </row>
    <row r="56" spans="1:26" s="489" customFormat="1" ht="42.75" customHeight="1">
      <c r="A56" s="507">
        <v>2</v>
      </c>
      <c r="B56" s="487" t="s">
        <v>434</v>
      </c>
      <c r="C56" s="491" t="s">
        <v>435</v>
      </c>
      <c r="D56" s="510">
        <v>52</v>
      </c>
      <c r="E56" s="493"/>
      <c r="F56" s="493"/>
      <c r="G56" s="492">
        <v>82</v>
      </c>
      <c r="H56" s="492">
        <v>115</v>
      </c>
      <c r="I56" s="555">
        <v>158</v>
      </c>
      <c r="J56" s="556" t="s">
        <v>436</v>
      </c>
      <c r="K56" s="493"/>
      <c r="L56" s="493">
        <v>169</v>
      </c>
      <c r="M56" s="492">
        <v>177</v>
      </c>
      <c r="N56" s="492">
        <v>182</v>
      </c>
      <c r="O56" s="492">
        <v>182</v>
      </c>
      <c r="P56" s="492">
        <v>182</v>
      </c>
      <c r="Q56" s="492">
        <v>182</v>
      </c>
      <c r="R56" s="492">
        <v>182</v>
      </c>
      <c r="S56" s="492">
        <v>182</v>
      </c>
      <c r="T56" s="492">
        <v>182</v>
      </c>
      <c r="U56" s="492">
        <v>182</v>
      </c>
      <c r="V56" s="492">
        <v>182</v>
      </c>
      <c r="W56" s="486"/>
      <c r="X56" s="487"/>
      <c r="Y56" s="488"/>
      <c r="Z56" s="487"/>
    </row>
    <row r="57" spans="1:26" s="489" customFormat="1" ht="46.5" customHeight="1">
      <c r="A57" s="507">
        <v>3</v>
      </c>
      <c r="B57" s="487" t="s">
        <v>437</v>
      </c>
      <c r="C57" s="491" t="s">
        <v>296</v>
      </c>
      <c r="D57" s="493"/>
      <c r="E57" s="493"/>
      <c r="F57" s="493"/>
      <c r="G57" s="556"/>
      <c r="H57" s="556"/>
      <c r="I57" s="557">
        <v>1</v>
      </c>
      <c r="J57" s="557">
        <v>4</v>
      </c>
      <c r="K57" s="493"/>
      <c r="L57" s="493">
        <v>10</v>
      </c>
      <c r="M57" s="558">
        <v>0</v>
      </c>
      <c r="N57" s="558">
        <v>11</v>
      </c>
      <c r="O57" s="558">
        <v>13</v>
      </c>
      <c r="P57" s="558">
        <v>13</v>
      </c>
      <c r="Q57" s="558">
        <v>13</v>
      </c>
      <c r="R57" s="558">
        <v>13</v>
      </c>
      <c r="S57" s="558">
        <v>13</v>
      </c>
      <c r="T57" s="558">
        <v>13</v>
      </c>
      <c r="U57" s="558">
        <v>13</v>
      </c>
      <c r="V57" s="558">
        <v>13</v>
      </c>
      <c r="W57" s="486"/>
      <c r="X57" s="487"/>
      <c r="Y57" s="488"/>
      <c r="Z57" s="487"/>
    </row>
    <row r="58" spans="1:26" s="489" customFormat="1" ht="29.25" customHeight="1">
      <c r="A58" s="507">
        <v>4</v>
      </c>
      <c r="B58" s="487" t="s">
        <v>438</v>
      </c>
      <c r="C58" s="491" t="s">
        <v>5</v>
      </c>
      <c r="D58" s="498">
        <v>25.36</v>
      </c>
      <c r="E58" s="498"/>
      <c r="F58" s="498"/>
      <c r="G58" s="498">
        <v>26.28</v>
      </c>
      <c r="H58" s="498">
        <v>27.02</v>
      </c>
      <c r="I58" s="498">
        <v>27.35</v>
      </c>
      <c r="J58" s="498">
        <v>27.35</v>
      </c>
      <c r="K58" s="498"/>
      <c r="L58" s="498">
        <v>28</v>
      </c>
      <c r="M58" s="498">
        <v>28.665447897623402</v>
      </c>
      <c r="N58" s="498">
        <v>29.346710827548641</v>
      </c>
      <c r="O58" s="498">
        <v>30.044164649775574</v>
      </c>
      <c r="P58" s="498">
        <v>30.758194156991447</v>
      </c>
      <c r="Q58" s="498">
        <v>31.489193286865103</v>
      </c>
      <c r="R58" s="498">
        <v>32.237565339386578</v>
      </c>
      <c r="S58" s="498">
        <v>33.003723199371997</v>
      </c>
      <c r="T58" s="498">
        <v>33.788089564256524</v>
      </c>
      <c r="U58" s="498">
        <v>34.591097177301016</v>
      </c>
      <c r="V58" s="498">
        <v>35.413189066341076</v>
      </c>
      <c r="W58" s="498"/>
      <c r="X58" s="498"/>
      <c r="Y58" s="559"/>
      <c r="Z58" s="487"/>
    </row>
    <row r="59" spans="1:26" s="489" customFormat="1" ht="29.25" customHeight="1">
      <c r="A59" s="507"/>
      <c r="B59" s="487" t="s">
        <v>439</v>
      </c>
      <c r="C59" s="491" t="s">
        <v>440</v>
      </c>
      <c r="D59" s="498">
        <v>22.6</v>
      </c>
      <c r="E59" s="498">
        <v>22.997867189590778</v>
      </c>
      <c r="F59" s="498">
        <v>23.5</v>
      </c>
      <c r="G59" s="498">
        <v>22.997867189590778</v>
      </c>
      <c r="H59" s="498">
        <v>23.5</v>
      </c>
      <c r="I59" s="498">
        <v>24.040787052539017</v>
      </c>
      <c r="J59" s="498">
        <v>24.67039352626951</v>
      </c>
      <c r="K59" s="498">
        <v>26.531252617651145</v>
      </c>
      <c r="L59" s="498">
        <v>25.300000000000004</v>
      </c>
      <c r="M59" s="498">
        <v>25.908313168297433</v>
      </c>
      <c r="N59" s="498">
        <v>26.531252617651145</v>
      </c>
      <c r="O59" s="498">
        <v>27.169170022344534</v>
      </c>
      <c r="P59" s="498">
        <v>27.822425512317018</v>
      </c>
      <c r="Q59" s="498">
        <v>28.49138787647184</v>
      </c>
      <c r="R59" s="556"/>
      <c r="S59" s="556"/>
      <c r="T59" s="556"/>
      <c r="U59" s="493"/>
      <c r="V59" s="493"/>
      <c r="W59" s="498"/>
      <c r="X59" s="498"/>
      <c r="Y59" s="560"/>
      <c r="Z59" s="487"/>
    </row>
    <row r="60" spans="1:26" s="489" customFormat="1" ht="29.25" customHeight="1">
      <c r="A60" s="507"/>
      <c r="B60" s="487" t="s">
        <v>441</v>
      </c>
      <c r="C60" s="491" t="s">
        <v>440</v>
      </c>
      <c r="D60" s="498">
        <v>25.350577818599746</v>
      </c>
      <c r="E60" s="498">
        <v>25.796868223519596</v>
      </c>
      <c r="F60" s="498">
        <v>26.454781035119542</v>
      </c>
      <c r="G60" s="498">
        <v>25.796868223519596</v>
      </c>
      <c r="H60" s="498">
        <v>26.454781035119542</v>
      </c>
      <c r="I60" s="498">
        <v>27.382493609119983</v>
      </c>
      <c r="J60" s="498">
        <v>28.285577042480909</v>
      </c>
      <c r="K60" s="498">
        <v>30.270122729821765</v>
      </c>
      <c r="L60" s="498">
        <v>29.188660475841836</v>
      </c>
      <c r="M60" s="498">
        <v>29.7244736693996</v>
      </c>
      <c r="N60" s="498">
        <v>30.270122729821765</v>
      </c>
      <c r="O60" s="498">
        <v>30.825788213089663</v>
      </c>
      <c r="P60" s="498">
        <v>31.39165398963193</v>
      </c>
      <c r="Q60" s="498">
        <v>31.967907305167451</v>
      </c>
      <c r="R60" s="556"/>
      <c r="S60" s="556"/>
      <c r="T60" s="556"/>
      <c r="U60" s="493"/>
      <c r="V60" s="493"/>
      <c r="W60" s="498"/>
      <c r="X60" s="498"/>
      <c r="Y60" s="560"/>
      <c r="Z60" s="487"/>
    </row>
    <row r="61" spans="1:26" s="489" customFormat="1" ht="29.25" customHeight="1">
      <c r="A61" s="507"/>
      <c r="B61" s="487" t="s">
        <v>442</v>
      </c>
      <c r="C61" s="491" t="s">
        <v>440</v>
      </c>
      <c r="D61" s="498">
        <v>21.989101924753417</v>
      </c>
      <c r="E61" s="498">
        <v>22.376214410790002</v>
      </c>
      <c r="F61" s="498">
        <v>22.839511476019503</v>
      </c>
      <c r="G61" s="498">
        <v>22.376214410790002</v>
      </c>
      <c r="H61" s="498">
        <v>22.839511476019503</v>
      </c>
      <c r="I61" s="498">
        <v>23.261401039496526</v>
      </c>
      <c r="J61" s="498">
        <v>23.806513912467111</v>
      </c>
      <c r="K61" s="498">
        <v>25.41974273017377</v>
      </c>
      <c r="L61" s="498">
        <v>24.351626785437698</v>
      </c>
      <c r="M61" s="498">
        <v>24.879953535869692</v>
      </c>
      <c r="N61" s="498">
        <v>25.41974273017377</v>
      </c>
      <c r="O61" s="498">
        <v>25.971243054640023</v>
      </c>
      <c r="P61" s="498">
        <v>26.534708590993546</v>
      </c>
      <c r="Q61" s="498">
        <v>27.110398933452434</v>
      </c>
      <c r="R61" s="556"/>
      <c r="S61" s="556"/>
      <c r="T61" s="556"/>
      <c r="U61" s="493"/>
      <c r="V61" s="493"/>
      <c r="W61" s="498"/>
      <c r="X61" s="498"/>
      <c r="Y61" s="560"/>
      <c r="Z61" s="487"/>
    </row>
    <row r="62" spans="1:26" s="489" customFormat="1" ht="26.25" customHeight="1">
      <c r="A62" s="499" t="s">
        <v>113</v>
      </c>
      <c r="B62" s="479" t="s">
        <v>286</v>
      </c>
      <c r="C62" s="491"/>
      <c r="D62" s="493"/>
      <c r="E62" s="493"/>
      <c r="F62" s="493"/>
      <c r="G62" s="556"/>
      <c r="H62" s="556"/>
      <c r="I62" s="556"/>
      <c r="J62" s="556"/>
      <c r="K62" s="493"/>
      <c r="L62" s="493"/>
      <c r="M62" s="493"/>
      <c r="N62" s="493"/>
      <c r="O62" s="493"/>
      <c r="P62" s="493"/>
      <c r="Q62" s="493"/>
      <c r="R62" s="493"/>
      <c r="S62" s="486"/>
      <c r="T62" s="486"/>
      <c r="U62" s="486"/>
      <c r="V62" s="486"/>
      <c r="W62" s="486"/>
      <c r="X62" s="487"/>
      <c r="Y62" s="488"/>
      <c r="Z62" s="487"/>
    </row>
    <row r="63" spans="1:26" s="489" customFormat="1" ht="26.25" customHeight="1">
      <c r="A63" s="507">
        <v>1</v>
      </c>
      <c r="B63" s="490" t="s">
        <v>443</v>
      </c>
      <c r="C63" s="491" t="s">
        <v>423</v>
      </c>
      <c r="D63" s="492">
        <v>1261288</v>
      </c>
      <c r="E63" s="492"/>
      <c r="F63" s="492"/>
      <c r="G63" s="492">
        <v>1266723</v>
      </c>
      <c r="H63" s="492">
        <v>1272181</v>
      </c>
      <c r="I63" s="492">
        <v>1272181</v>
      </c>
      <c r="J63" s="492">
        <v>1277647</v>
      </c>
      <c r="K63" s="493"/>
      <c r="L63" s="493">
        <v>1288634</v>
      </c>
      <c r="M63" s="493">
        <v>1299716.2524000001</v>
      </c>
      <c r="N63" s="493">
        <v>1310893.8121706401</v>
      </c>
      <c r="O63" s="493">
        <v>1322167.4989553075</v>
      </c>
      <c r="P63" s="493">
        <v>1333538.1394463233</v>
      </c>
      <c r="Q63" s="493">
        <v>1345006.5674455618</v>
      </c>
      <c r="R63" s="493">
        <v>1356573.6239255937</v>
      </c>
      <c r="S63" s="494">
        <v>1368240.1570913538</v>
      </c>
      <c r="T63" s="494">
        <v>1380007.0224423395</v>
      </c>
      <c r="U63" s="494">
        <v>1391875.0828353437</v>
      </c>
      <c r="V63" s="494">
        <v>1403845.2085477277</v>
      </c>
      <c r="W63" s="486"/>
      <c r="X63" s="487"/>
      <c r="Y63" s="488"/>
      <c r="Z63" s="487"/>
    </row>
    <row r="64" spans="1:26" s="489" customFormat="1" ht="26.25" customHeight="1">
      <c r="A64" s="507">
        <v>2</v>
      </c>
      <c r="B64" s="490" t="s">
        <v>444</v>
      </c>
      <c r="C64" s="491" t="s">
        <v>5</v>
      </c>
      <c r="D64" s="561">
        <v>0.10199999999999999</v>
      </c>
      <c r="E64" s="493">
        <v>0.91</v>
      </c>
      <c r="F64" s="493">
        <v>0.89</v>
      </c>
      <c r="G64" s="556">
        <v>0.91</v>
      </c>
      <c r="H64" s="556">
        <v>0.89</v>
      </c>
      <c r="I64" s="556">
        <v>0.8</v>
      </c>
      <c r="J64" s="556">
        <v>0.79</v>
      </c>
      <c r="K64" s="493"/>
      <c r="L64" s="498">
        <v>0.86</v>
      </c>
      <c r="M64" s="498">
        <v>0.86</v>
      </c>
      <c r="N64" s="498">
        <v>0.86</v>
      </c>
      <c r="O64" s="498">
        <v>0.86</v>
      </c>
      <c r="P64" s="498">
        <v>0.86</v>
      </c>
      <c r="Q64" s="498">
        <v>0.86</v>
      </c>
      <c r="R64" s="498">
        <v>0.86</v>
      </c>
      <c r="S64" s="512">
        <v>0.86</v>
      </c>
      <c r="T64" s="512">
        <v>0.86</v>
      </c>
      <c r="U64" s="512">
        <v>0.86</v>
      </c>
      <c r="V64" s="512">
        <v>0.86</v>
      </c>
      <c r="W64" s="512">
        <v>0.85</v>
      </c>
      <c r="X64" s="512">
        <v>0.86</v>
      </c>
      <c r="Y64" s="530">
        <v>0.86</v>
      </c>
      <c r="Z64" s="487"/>
    </row>
    <row r="65" spans="1:26" s="489" customFormat="1" ht="26.25" customHeight="1">
      <c r="A65" s="507">
        <v>3</v>
      </c>
      <c r="B65" s="490" t="s">
        <v>301</v>
      </c>
      <c r="C65" s="491" t="s">
        <v>5</v>
      </c>
      <c r="D65" s="498">
        <v>79.64</v>
      </c>
      <c r="E65" s="498"/>
      <c r="F65" s="498"/>
      <c r="G65" s="498">
        <v>82.4</v>
      </c>
      <c r="H65" s="498">
        <v>85.4</v>
      </c>
      <c r="I65" s="498">
        <v>86.3</v>
      </c>
      <c r="J65" s="498">
        <v>89.98</v>
      </c>
      <c r="K65" s="498"/>
      <c r="L65" s="498">
        <v>91</v>
      </c>
      <c r="M65" s="498">
        <v>91.5</v>
      </c>
      <c r="N65" s="498">
        <v>91.7</v>
      </c>
      <c r="O65" s="498">
        <v>92</v>
      </c>
      <c r="P65" s="498">
        <v>92.2</v>
      </c>
      <c r="Q65" s="498">
        <v>92.5</v>
      </c>
      <c r="R65" s="498">
        <v>92.7</v>
      </c>
      <c r="S65" s="512">
        <v>92.9</v>
      </c>
      <c r="T65" s="512">
        <v>93</v>
      </c>
      <c r="U65" s="512">
        <v>93.1</v>
      </c>
      <c r="V65" s="512">
        <v>93.2</v>
      </c>
      <c r="W65" s="486"/>
      <c r="X65" s="487"/>
      <c r="Y65" s="488"/>
      <c r="Z65" s="487"/>
    </row>
    <row r="66" spans="1:26" s="489" customFormat="1" ht="26.25" customHeight="1">
      <c r="A66" s="507">
        <v>4</v>
      </c>
      <c r="B66" s="490" t="s">
        <v>302</v>
      </c>
      <c r="C66" s="491" t="s">
        <v>5</v>
      </c>
      <c r="D66" s="498">
        <v>64.8</v>
      </c>
      <c r="E66" s="498"/>
      <c r="F66" s="498"/>
      <c r="G66" s="498">
        <v>69.67</v>
      </c>
      <c r="H66" s="498">
        <v>84.4</v>
      </c>
      <c r="I66" s="498">
        <v>88</v>
      </c>
      <c r="J66" s="498">
        <v>90.73</v>
      </c>
      <c r="K66" s="498"/>
      <c r="L66" s="498">
        <v>91.4</v>
      </c>
      <c r="M66" s="498">
        <v>91.5</v>
      </c>
      <c r="N66" s="498">
        <v>91.7</v>
      </c>
      <c r="O66" s="498">
        <v>91.9</v>
      </c>
      <c r="P66" s="498">
        <v>92.1</v>
      </c>
      <c r="Q66" s="498">
        <v>92.4</v>
      </c>
      <c r="R66" s="498">
        <v>92.7</v>
      </c>
      <c r="S66" s="512">
        <v>93</v>
      </c>
      <c r="T66" s="512">
        <v>93.3</v>
      </c>
      <c r="U66" s="512">
        <v>93.6</v>
      </c>
      <c r="V66" s="512">
        <v>93.9</v>
      </c>
      <c r="W66" s="486"/>
      <c r="X66" s="487"/>
      <c r="Y66" s="488"/>
      <c r="Z66" s="487"/>
    </row>
    <row r="67" spans="1:26" s="489" customFormat="1" ht="26.25" customHeight="1">
      <c r="A67" s="507">
        <v>5</v>
      </c>
      <c r="B67" s="490" t="s">
        <v>312</v>
      </c>
      <c r="C67" s="491" t="s">
        <v>5</v>
      </c>
      <c r="D67" s="492">
        <v>9</v>
      </c>
      <c r="E67" s="492"/>
      <c r="F67" s="492"/>
      <c r="G67" s="492">
        <v>15</v>
      </c>
      <c r="H67" s="492">
        <v>26</v>
      </c>
      <c r="I67" s="492">
        <v>47</v>
      </c>
      <c r="J67" s="492">
        <v>56</v>
      </c>
      <c r="K67" s="492"/>
      <c r="L67" s="492">
        <v>60</v>
      </c>
      <c r="M67" s="492">
        <v>65</v>
      </c>
      <c r="N67" s="492">
        <v>70</v>
      </c>
      <c r="O67" s="492">
        <v>72</v>
      </c>
      <c r="P67" s="492">
        <v>74</v>
      </c>
      <c r="Q67" s="492">
        <v>76</v>
      </c>
      <c r="R67" s="492">
        <v>77</v>
      </c>
      <c r="S67" s="494">
        <v>78</v>
      </c>
      <c r="T67" s="494">
        <v>79</v>
      </c>
      <c r="U67" s="494">
        <v>80</v>
      </c>
      <c r="V67" s="494">
        <v>81</v>
      </c>
      <c r="W67" s="486"/>
      <c r="X67" s="487"/>
      <c r="Y67" s="488"/>
      <c r="Z67" s="487"/>
    </row>
    <row r="68" spans="1:26" s="489" customFormat="1" ht="26.25" customHeight="1">
      <c r="A68" s="507" t="s">
        <v>324</v>
      </c>
      <c r="B68" s="490" t="s">
        <v>313</v>
      </c>
      <c r="C68" s="491"/>
      <c r="D68" s="493"/>
      <c r="E68" s="493"/>
      <c r="F68" s="493"/>
      <c r="G68" s="556"/>
      <c r="H68" s="556"/>
      <c r="I68" s="556"/>
      <c r="J68" s="556"/>
      <c r="K68" s="493"/>
      <c r="L68" s="493"/>
      <c r="M68" s="493"/>
      <c r="N68" s="493"/>
      <c r="O68" s="493"/>
      <c r="P68" s="493"/>
      <c r="Q68" s="493"/>
      <c r="R68" s="493"/>
      <c r="S68" s="486"/>
      <c r="T68" s="486"/>
      <c r="U68" s="486"/>
      <c r="V68" s="486"/>
      <c r="W68" s="486"/>
      <c r="X68" s="487"/>
      <c r="Y68" s="488"/>
      <c r="Z68" s="487"/>
    </row>
    <row r="69" spans="1:26" s="489" customFormat="1" ht="26.25" customHeight="1">
      <c r="A69" s="507">
        <v>6</v>
      </c>
      <c r="B69" s="490" t="s">
        <v>297</v>
      </c>
      <c r="C69" s="491" t="s">
        <v>5</v>
      </c>
      <c r="D69" s="562">
        <v>60.44</v>
      </c>
      <c r="E69" s="556"/>
      <c r="F69" s="556"/>
      <c r="G69" s="556">
        <v>59.17</v>
      </c>
      <c r="H69" s="556">
        <v>56.67</v>
      </c>
      <c r="I69" s="556">
        <v>66.66</v>
      </c>
      <c r="J69" s="556">
        <v>65.03</v>
      </c>
      <c r="K69" s="556"/>
      <c r="L69" s="556">
        <v>70</v>
      </c>
      <c r="M69" s="563">
        <v>75.2</v>
      </c>
      <c r="N69" s="563">
        <v>78</v>
      </c>
      <c r="O69" s="563">
        <v>80.5</v>
      </c>
      <c r="P69" s="563">
        <v>85.5</v>
      </c>
      <c r="Q69" s="563">
        <v>90</v>
      </c>
      <c r="R69" s="563">
        <v>93.5</v>
      </c>
      <c r="S69" s="556">
        <v>94.5</v>
      </c>
      <c r="T69" s="556">
        <v>96</v>
      </c>
      <c r="U69" s="556">
        <v>98.5</v>
      </c>
      <c r="V69" s="556">
        <v>100</v>
      </c>
      <c r="W69" s="556"/>
      <c r="X69" s="556"/>
      <c r="Y69" s="564"/>
      <c r="Z69" s="487"/>
    </row>
    <row r="70" spans="1:26" s="489" customFormat="1" ht="26.25" customHeight="1">
      <c r="A70" s="565">
        <v>7</v>
      </c>
      <c r="B70" s="490" t="s">
        <v>298</v>
      </c>
      <c r="C70" s="491" t="s">
        <v>5</v>
      </c>
      <c r="D70" s="566">
        <v>74.599999999999994</v>
      </c>
      <c r="E70" s="556"/>
      <c r="F70" s="556"/>
      <c r="G70" s="556">
        <v>72.3</v>
      </c>
      <c r="H70" s="556">
        <v>77</v>
      </c>
      <c r="I70" s="556">
        <v>82.6</v>
      </c>
      <c r="J70" s="556">
        <v>82.1</v>
      </c>
      <c r="K70" s="556"/>
      <c r="L70" s="556">
        <v>87</v>
      </c>
      <c r="M70" s="556">
        <v>85</v>
      </c>
      <c r="N70" s="556">
        <v>87</v>
      </c>
      <c r="O70" s="556">
        <v>89</v>
      </c>
      <c r="P70" s="556">
        <v>91</v>
      </c>
      <c r="Q70" s="556">
        <v>93</v>
      </c>
      <c r="R70" s="556">
        <v>95</v>
      </c>
      <c r="S70" s="556">
        <v>97</v>
      </c>
      <c r="T70" s="556">
        <v>99</v>
      </c>
      <c r="U70" s="556">
        <v>100</v>
      </c>
      <c r="V70" s="556">
        <v>100</v>
      </c>
      <c r="W70" s="556"/>
      <c r="X70" s="556"/>
      <c r="Y70" s="567"/>
      <c r="Z70" s="487"/>
    </row>
    <row r="71" spans="1:26" s="489" customFormat="1" ht="26.25" customHeight="1">
      <c r="A71" s="507">
        <v>8</v>
      </c>
      <c r="B71" s="490" t="s">
        <v>299</v>
      </c>
      <c r="C71" s="491" t="s">
        <v>5</v>
      </c>
      <c r="D71" s="566">
        <v>63</v>
      </c>
      <c r="E71" s="556"/>
      <c r="F71" s="556"/>
      <c r="G71" s="556">
        <v>66</v>
      </c>
      <c r="H71" s="556">
        <v>69.7</v>
      </c>
      <c r="I71" s="556">
        <v>74.17</v>
      </c>
      <c r="J71" s="556">
        <v>80.66</v>
      </c>
      <c r="K71" s="556"/>
      <c r="L71" s="556">
        <v>83.33</v>
      </c>
      <c r="M71" s="556">
        <v>86.66</v>
      </c>
      <c r="N71" s="556">
        <v>87.33</v>
      </c>
      <c r="O71" s="556">
        <v>92.66</v>
      </c>
      <c r="P71" s="556">
        <v>93.33</v>
      </c>
      <c r="Q71" s="556">
        <v>94.66</v>
      </c>
      <c r="R71" s="556">
        <v>95.33</v>
      </c>
      <c r="S71" s="556">
        <v>95.33</v>
      </c>
      <c r="T71" s="556">
        <v>96</v>
      </c>
      <c r="U71" s="556">
        <v>98</v>
      </c>
      <c r="V71" s="556">
        <v>100</v>
      </c>
      <c r="W71" s="556"/>
      <c r="X71" s="556"/>
      <c r="Y71" s="567"/>
      <c r="Z71" s="487"/>
    </row>
    <row r="72" spans="1:26" s="489" customFormat="1" ht="26.25" customHeight="1">
      <c r="A72" s="565">
        <v>9</v>
      </c>
      <c r="B72" s="490" t="s">
        <v>300</v>
      </c>
      <c r="C72" s="491" t="s">
        <v>5</v>
      </c>
      <c r="D72" s="566">
        <v>61.5</v>
      </c>
      <c r="E72" s="556"/>
      <c r="F72" s="556"/>
      <c r="G72" s="556">
        <v>71.7</v>
      </c>
      <c r="H72" s="557">
        <v>75</v>
      </c>
      <c r="I72" s="568">
        <v>75</v>
      </c>
      <c r="J72" s="557">
        <v>80</v>
      </c>
      <c r="K72" s="557"/>
      <c r="L72" s="556">
        <v>82.5</v>
      </c>
      <c r="M72" s="557">
        <v>85</v>
      </c>
      <c r="N72" s="557">
        <v>87</v>
      </c>
      <c r="O72" s="557">
        <v>90</v>
      </c>
      <c r="P72" s="557">
        <v>90</v>
      </c>
      <c r="Q72" s="557">
        <v>90</v>
      </c>
      <c r="R72" s="557">
        <v>100</v>
      </c>
      <c r="S72" s="557">
        <v>100</v>
      </c>
      <c r="T72" s="557">
        <v>100</v>
      </c>
      <c r="U72" s="557">
        <v>100</v>
      </c>
      <c r="V72" s="557">
        <v>100</v>
      </c>
      <c r="W72" s="556"/>
      <c r="X72" s="556"/>
      <c r="Y72" s="569"/>
      <c r="Z72" s="487"/>
    </row>
    <row r="73" spans="1:26" s="489" customFormat="1" ht="54" customHeight="1">
      <c r="A73" s="507">
        <v>10</v>
      </c>
      <c r="B73" s="490" t="s">
        <v>445</v>
      </c>
      <c r="C73" s="491" t="s">
        <v>5</v>
      </c>
      <c r="D73" s="566">
        <v>45</v>
      </c>
      <c r="E73" s="556"/>
      <c r="F73" s="556"/>
      <c r="G73" s="556">
        <v>41.6</v>
      </c>
      <c r="H73" s="556">
        <v>41</v>
      </c>
      <c r="I73" s="556">
        <v>41.2</v>
      </c>
      <c r="J73" s="556">
        <v>45</v>
      </c>
      <c r="K73" s="556"/>
      <c r="L73" s="556">
        <v>43</v>
      </c>
      <c r="M73" s="556" t="s">
        <v>446</v>
      </c>
      <c r="N73" s="556">
        <v>42</v>
      </c>
      <c r="O73" s="556">
        <v>41.5</v>
      </c>
      <c r="P73" s="556" t="s">
        <v>447</v>
      </c>
      <c r="Q73" s="556">
        <v>40.5</v>
      </c>
      <c r="R73" s="556">
        <v>40</v>
      </c>
      <c r="S73" s="556">
        <v>39.5</v>
      </c>
      <c r="T73" s="556">
        <v>39</v>
      </c>
      <c r="U73" s="556">
        <v>38.5</v>
      </c>
      <c r="V73" s="556">
        <v>38</v>
      </c>
      <c r="W73" s="556"/>
      <c r="X73" s="556"/>
      <c r="Y73" s="564"/>
      <c r="Z73" s="487"/>
    </row>
    <row r="74" spans="1:26" s="489" customFormat="1" ht="26.25" customHeight="1">
      <c r="A74" s="565">
        <v>11</v>
      </c>
      <c r="B74" s="490" t="s">
        <v>315</v>
      </c>
      <c r="C74" s="491" t="s">
        <v>5</v>
      </c>
      <c r="D74" s="513">
        <v>82.8</v>
      </c>
      <c r="E74" s="559"/>
      <c r="F74" s="559"/>
      <c r="G74" s="556">
        <v>88.5</v>
      </c>
      <c r="H74" s="556">
        <v>92.4</v>
      </c>
      <c r="I74" s="556">
        <v>94.6</v>
      </c>
      <c r="J74" s="556">
        <v>98.4</v>
      </c>
      <c r="K74" s="493"/>
      <c r="L74" s="493">
        <v>100</v>
      </c>
      <c r="M74" s="547">
        <v>100</v>
      </c>
      <c r="N74" s="547">
        <v>100</v>
      </c>
      <c r="O74" s="547">
        <v>100</v>
      </c>
      <c r="P74" s="547">
        <v>100</v>
      </c>
      <c r="Q74" s="547">
        <v>100</v>
      </c>
      <c r="R74" s="547">
        <v>100</v>
      </c>
      <c r="S74" s="486">
        <v>100</v>
      </c>
      <c r="T74" s="486">
        <v>100</v>
      </c>
      <c r="U74" s="486">
        <v>100</v>
      </c>
      <c r="V74" s="486">
        <v>100</v>
      </c>
      <c r="W74" s="486"/>
      <c r="X74" s="487"/>
      <c r="Y74" s="488"/>
      <c r="Z74" s="487"/>
    </row>
    <row r="75" spans="1:26" s="489" customFormat="1" ht="26.25" customHeight="1">
      <c r="A75" s="507">
        <v>12</v>
      </c>
      <c r="B75" s="490" t="s">
        <v>448</v>
      </c>
      <c r="C75" s="491" t="s">
        <v>449</v>
      </c>
      <c r="D75" s="513">
        <v>18.8</v>
      </c>
      <c r="E75" s="559"/>
      <c r="F75" s="559"/>
      <c r="G75" s="556">
        <v>19.3</v>
      </c>
      <c r="H75" s="556">
        <v>19.5</v>
      </c>
      <c r="I75" s="556">
        <v>25</v>
      </c>
      <c r="J75" s="556">
        <v>25.4</v>
      </c>
      <c r="K75" s="493"/>
      <c r="L75" s="493">
        <v>26</v>
      </c>
      <c r="M75" s="547">
        <v>26.4</v>
      </c>
      <c r="N75" s="547">
        <v>27</v>
      </c>
      <c r="O75" s="547">
        <v>27</v>
      </c>
      <c r="P75" s="547">
        <v>28</v>
      </c>
      <c r="Q75" s="547">
        <v>28</v>
      </c>
      <c r="R75" s="547">
        <v>28.5</v>
      </c>
      <c r="S75" s="486">
        <v>28.5</v>
      </c>
      <c r="T75" s="486">
        <v>28.5</v>
      </c>
      <c r="U75" s="486">
        <v>29</v>
      </c>
      <c r="V75" s="486">
        <v>30</v>
      </c>
      <c r="W75" s="486"/>
      <c r="X75" s="487"/>
      <c r="Y75" s="488"/>
      <c r="Z75" s="487"/>
    </row>
    <row r="76" spans="1:26" s="489" customFormat="1" ht="26.25" customHeight="1">
      <c r="A76" s="565">
        <v>13</v>
      </c>
      <c r="B76" s="490" t="s">
        <v>317</v>
      </c>
      <c r="C76" s="491" t="s">
        <v>318</v>
      </c>
      <c r="D76" s="570">
        <v>7.4</v>
      </c>
      <c r="E76" s="559"/>
      <c r="F76" s="559"/>
      <c r="G76" s="556">
        <v>7.7</v>
      </c>
      <c r="H76" s="556">
        <v>8.6</v>
      </c>
      <c r="I76" s="556">
        <v>9.1</v>
      </c>
      <c r="J76" s="556">
        <v>10</v>
      </c>
      <c r="K76" s="493"/>
      <c r="L76" s="498">
        <v>10.5</v>
      </c>
      <c r="M76" s="571">
        <v>11</v>
      </c>
      <c r="N76" s="498">
        <v>11.2</v>
      </c>
      <c r="O76" s="498">
        <v>11.3</v>
      </c>
      <c r="P76" s="498">
        <v>11.4</v>
      </c>
      <c r="Q76" s="498">
        <v>11.5</v>
      </c>
      <c r="R76" s="498">
        <v>11.7</v>
      </c>
      <c r="S76" s="486">
        <v>11.8</v>
      </c>
      <c r="T76" s="486">
        <v>12</v>
      </c>
      <c r="U76" s="486">
        <v>12.3</v>
      </c>
      <c r="V76" s="486">
        <v>12.5</v>
      </c>
      <c r="W76" s="486"/>
      <c r="X76" s="487"/>
      <c r="Y76" s="488"/>
      <c r="Z76" s="487"/>
    </row>
    <row r="77" spans="1:26" s="489" customFormat="1" ht="38.25" customHeight="1">
      <c r="A77" s="507">
        <v>14</v>
      </c>
      <c r="B77" s="490" t="s">
        <v>462</v>
      </c>
      <c r="C77" s="491" t="s">
        <v>5</v>
      </c>
      <c r="D77" s="513">
        <v>75.572519083969468</v>
      </c>
      <c r="E77" s="559"/>
      <c r="F77" s="559"/>
      <c r="G77" s="556">
        <v>75.954198473282446</v>
      </c>
      <c r="H77" s="556">
        <v>76.717557251908403</v>
      </c>
      <c r="I77" s="556">
        <v>78</v>
      </c>
      <c r="J77" s="556">
        <v>78.7</v>
      </c>
      <c r="K77" s="493"/>
      <c r="L77" s="493">
        <v>90</v>
      </c>
      <c r="M77" s="510">
        <v>100</v>
      </c>
      <c r="N77" s="510">
        <v>100</v>
      </c>
      <c r="O77" s="510">
        <v>100</v>
      </c>
      <c r="P77" s="510">
        <v>100</v>
      </c>
      <c r="Q77" s="510">
        <v>100</v>
      </c>
      <c r="R77" s="510">
        <v>100</v>
      </c>
      <c r="S77" s="494">
        <v>100</v>
      </c>
      <c r="T77" s="494">
        <v>100</v>
      </c>
      <c r="U77" s="494">
        <v>100</v>
      </c>
      <c r="V77" s="494">
        <v>100</v>
      </c>
      <c r="W77" s="486"/>
      <c r="X77" s="487"/>
      <c r="Y77" s="488"/>
      <c r="Z77" s="487"/>
    </row>
    <row r="78" spans="1:26" s="489" customFormat="1" ht="26.25" customHeight="1">
      <c r="A78" s="565">
        <v>15</v>
      </c>
      <c r="B78" s="490" t="s">
        <v>321</v>
      </c>
      <c r="C78" s="491" t="s">
        <v>5</v>
      </c>
      <c r="D78" s="570"/>
      <c r="E78" s="559"/>
      <c r="F78" s="559"/>
      <c r="G78" s="556"/>
      <c r="H78" s="556"/>
      <c r="I78" s="556"/>
      <c r="J78" s="556"/>
      <c r="K78" s="493"/>
      <c r="L78" s="493"/>
      <c r="M78" s="493"/>
      <c r="N78" s="493"/>
      <c r="O78" s="493"/>
      <c r="P78" s="493"/>
      <c r="Q78" s="493"/>
      <c r="R78" s="493"/>
      <c r="S78" s="486"/>
      <c r="T78" s="486"/>
      <c r="U78" s="486"/>
      <c r="V78" s="486"/>
      <c r="W78" s="486"/>
      <c r="X78" s="487"/>
      <c r="Y78" s="488"/>
      <c r="Z78" s="487"/>
    </row>
    <row r="79" spans="1:26" s="489" customFormat="1" ht="33" customHeight="1">
      <c r="A79" s="507">
        <v>16</v>
      </c>
      <c r="B79" s="490" t="s">
        <v>450</v>
      </c>
      <c r="C79" s="491" t="s">
        <v>5</v>
      </c>
      <c r="D79" s="559">
        <v>14</v>
      </c>
      <c r="E79" s="559"/>
      <c r="F79" s="559"/>
      <c r="G79" s="556">
        <v>13.2</v>
      </c>
      <c r="H79" s="556">
        <v>10</v>
      </c>
      <c r="I79" s="556">
        <v>9.1999999999999993</v>
      </c>
      <c r="J79" s="556">
        <v>8.9</v>
      </c>
      <c r="K79" s="493"/>
      <c r="L79" s="603">
        <v>8.6</v>
      </c>
      <c r="M79" s="572">
        <v>8.5</v>
      </c>
      <c r="N79" s="572">
        <v>8.3000000000000007</v>
      </c>
      <c r="O79" s="572">
        <v>8.1999999999999993</v>
      </c>
      <c r="P79" s="572">
        <v>7.9</v>
      </c>
      <c r="Q79" s="572">
        <v>7.8</v>
      </c>
      <c r="R79" s="572">
        <v>7.7</v>
      </c>
      <c r="S79" s="486">
        <v>7.6</v>
      </c>
      <c r="T79" s="486">
        <v>7.5</v>
      </c>
      <c r="U79" s="486">
        <v>7.4</v>
      </c>
      <c r="V79" s="486">
        <v>7.3</v>
      </c>
      <c r="W79" s="486"/>
      <c r="X79" s="487"/>
      <c r="Y79" s="488"/>
      <c r="Z79" s="487"/>
    </row>
    <row r="80" spans="1:26" s="610" customFormat="1" ht="33" customHeight="1">
      <c r="A80" s="604">
        <v>17</v>
      </c>
      <c r="B80" s="605" t="s">
        <v>451</v>
      </c>
      <c r="C80" s="606" t="s">
        <v>5</v>
      </c>
      <c r="D80" s="607">
        <v>20.6</v>
      </c>
      <c r="E80" s="607">
        <v>20.100000000000001</v>
      </c>
      <c r="F80" s="607">
        <v>16</v>
      </c>
      <c r="G80" s="606">
        <v>20.100000000000001</v>
      </c>
      <c r="H80" s="606">
        <v>16</v>
      </c>
      <c r="I80" s="606">
        <v>14.5</v>
      </c>
      <c r="J80" s="606">
        <v>15.1</v>
      </c>
      <c r="K80" s="606">
        <v>14.1</v>
      </c>
      <c r="L80" s="606">
        <v>14.9</v>
      </c>
      <c r="M80" s="606">
        <v>14.7</v>
      </c>
      <c r="N80" s="606">
        <v>14.5</v>
      </c>
      <c r="O80" s="606">
        <v>14.3</v>
      </c>
      <c r="P80" s="606">
        <v>14.1</v>
      </c>
      <c r="Q80" s="606">
        <v>14</v>
      </c>
      <c r="R80" s="606">
        <v>13.9</v>
      </c>
      <c r="S80" s="608">
        <v>13.8</v>
      </c>
      <c r="T80" s="608">
        <v>13.7</v>
      </c>
      <c r="U80" s="608">
        <v>13.6</v>
      </c>
      <c r="V80" s="608">
        <v>13.5</v>
      </c>
      <c r="W80" s="608"/>
      <c r="X80" s="608"/>
      <c r="Y80" s="609"/>
      <c r="Z80" s="608"/>
    </row>
    <row r="81" spans="1:26" s="489" customFormat="1" ht="27" customHeight="1">
      <c r="A81" s="507">
        <v>18</v>
      </c>
      <c r="B81" s="490" t="s">
        <v>59</v>
      </c>
      <c r="C81" s="491" t="s">
        <v>5</v>
      </c>
      <c r="D81" s="573">
        <v>53</v>
      </c>
      <c r="E81" s="559"/>
      <c r="F81" s="559"/>
      <c r="G81" s="574">
        <v>55.12</v>
      </c>
      <c r="H81" s="575">
        <v>58.7</v>
      </c>
      <c r="I81" s="573">
        <v>61</v>
      </c>
      <c r="J81" s="573">
        <v>64.98</v>
      </c>
      <c r="K81" s="493"/>
      <c r="L81" s="573">
        <v>70</v>
      </c>
      <c r="M81" s="576">
        <v>72</v>
      </c>
      <c r="N81" s="576">
        <v>74</v>
      </c>
      <c r="O81" s="576">
        <v>76</v>
      </c>
      <c r="P81" s="576">
        <v>78</v>
      </c>
      <c r="Q81" s="576">
        <v>80</v>
      </c>
      <c r="R81" s="573">
        <v>81</v>
      </c>
      <c r="S81" s="573">
        <v>82</v>
      </c>
      <c r="T81" s="573">
        <v>83</v>
      </c>
      <c r="U81" s="573">
        <v>84</v>
      </c>
      <c r="V81" s="573">
        <v>85</v>
      </c>
      <c r="W81" s="486"/>
      <c r="X81" s="487"/>
      <c r="Y81" s="488"/>
      <c r="Z81" s="487"/>
    </row>
    <row r="82" spans="1:26" s="489" customFormat="1" ht="27.75" customHeight="1">
      <c r="A82" s="565">
        <v>19</v>
      </c>
      <c r="B82" s="490" t="s">
        <v>320</v>
      </c>
      <c r="C82" s="491" t="s">
        <v>5</v>
      </c>
      <c r="D82" s="513"/>
      <c r="E82" s="559"/>
      <c r="F82" s="559"/>
      <c r="G82" s="556"/>
      <c r="H82" s="556"/>
      <c r="I82" s="556"/>
      <c r="J82" s="556"/>
      <c r="K82" s="493"/>
      <c r="L82" s="493"/>
      <c r="M82" s="493"/>
      <c r="N82" s="493"/>
      <c r="O82" s="493"/>
      <c r="P82" s="493"/>
      <c r="Q82" s="493"/>
      <c r="R82" s="493"/>
      <c r="S82" s="486"/>
      <c r="T82" s="486"/>
      <c r="U82" s="486"/>
      <c r="V82" s="486"/>
      <c r="W82" s="486"/>
      <c r="X82" s="487"/>
      <c r="Y82" s="488"/>
      <c r="Z82" s="487"/>
    </row>
    <row r="83" spans="1:26" s="489" customFormat="1" ht="34.5" customHeight="1">
      <c r="A83" s="565"/>
      <c r="B83" s="490" t="s">
        <v>452</v>
      </c>
      <c r="C83" s="491" t="s">
        <v>5</v>
      </c>
      <c r="D83" s="532">
        <v>11.1</v>
      </c>
      <c r="E83" s="532"/>
      <c r="F83" s="532"/>
      <c r="G83" s="498">
        <v>12.2</v>
      </c>
      <c r="H83" s="498">
        <v>12.8</v>
      </c>
      <c r="I83" s="498">
        <v>14.6</v>
      </c>
      <c r="J83" s="498">
        <v>15.5</v>
      </c>
      <c r="K83" s="498"/>
      <c r="L83" s="498">
        <v>16.899999999999999</v>
      </c>
      <c r="M83" s="498">
        <v>18.7</v>
      </c>
      <c r="N83" s="498">
        <v>19.899999999999999</v>
      </c>
      <c r="O83" s="498">
        <v>21.1</v>
      </c>
      <c r="P83" s="498">
        <v>22.3</v>
      </c>
      <c r="Q83" s="498">
        <v>23.5</v>
      </c>
      <c r="R83" s="498">
        <v>24.4</v>
      </c>
      <c r="S83" s="486">
        <v>25.3</v>
      </c>
      <c r="T83" s="486">
        <v>26.2</v>
      </c>
      <c r="U83" s="486">
        <v>27.1</v>
      </c>
      <c r="V83" s="486">
        <v>28</v>
      </c>
      <c r="W83" s="486"/>
      <c r="X83" s="487"/>
      <c r="Y83" s="488"/>
      <c r="Z83" s="487"/>
    </row>
    <row r="84" spans="1:26" s="489" customFormat="1" ht="47.25" customHeight="1">
      <c r="A84" s="565"/>
      <c r="B84" s="490" t="s">
        <v>453</v>
      </c>
      <c r="C84" s="491" t="s">
        <v>5</v>
      </c>
      <c r="D84" s="570">
        <v>19.600000000000001</v>
      </c>
      <c r="E84" s="559"/>
      <c r="F84" s="559"/>
      <c r="G84" s="556">
        <v>21.6</v>
      </c>
      <c r="H84" s="556">
        <v>22.7</v>
      </c>
      <c r="I84" s="556">
        <v>25.9</v>
      </c>
      <c r="J84" s="556">
        <v>27.6</v>
      </c>
      <c r="K84" s="493"/>
      <c r="L84" s="493">
        <v>30</v>
      </c>
      <c r="M84" s="493">
        <v>33.200000000000003</v>
      </c>
      <c r="N84" s="493">
        <v>35.299999999999997</v>
      </c>
      <c r="O84" s="493">
        <v>37.4</v>
      </c>
      <c r="P84" s="493">
        <v>39.5</v>
      </c>
      <c r="Q84" s="493">
        <v>41.7</v>
      </c>
      <c r="R84" s="493">
        <v>43.3</v>
      </c>
      <c r="S84" s="486">
        <v>44.9</v>
      </c>
      <c r="T84" s="486">
        <v>46.4</v>
      </c>
      <c r="U84" s="486">
        <v>48</v>
      </c>
      <c r="V84" s="486">
        <v>49.6</v>
      </c>
      <c r="W84" s="486"/>
      <c r="X84" s="487"/>
      <c r="Y84" s="488"/>
      <c r="Z84" s="487"/>
    </row>
    <row r="85" spans="1:26" s="489" customFormat="1" ht="30.75" customHeight="1">
      <c r="A85" s="507">
        <v>20</v>
      </c>
      <c r="B85" s="490" t="s">
        <v>345</v>
      </c>
      <c r="C85" s="491" t="s">
        <v>5</v>
      </c>
      <c r="D85" s="577"/>
      <c r="E85" s="559"/>
      <c r="F85" s="559"/>
      <c r="G85" s="577"/>
      <c r="H85" s="577"/>
      <c r="I85" s="577"/>
      <c r="J85" s="577"/>
      <c r="K85" s="493"/>
      <c r="L85" s="577"/>
      <c r="M85" s="577"/>
      <c r="N85" s="577"/>
      <c r="O85" s="577"/>
      <c r="P85" s="577"/>
      <c r="Q85" s="577"/>
      <c r="R85" s="577"/>
      <c r="S85" s="577"/>
      <c r="T85" s="577"/>
      <c r="U85" s="577"/>
      <c r="V85" s="577"/>
      <c r="W85" s="486"/>
      <c r="X85" s="487"/>
      <c r="Y85" s="488"/>
      <c r="Z85" s="487"/>
    </row>
    <row r="86" spans="1:26" s="489" customFormat="1" ht="33.75" customHeight="1">
      <c r="A86" s="507"/>
      <c r="B86" s="490" t="s">
        <v>454</v>
      </c>
      <c r="C86" s="491" t="s">
        <v>5</v>
      </c>
      <c r="D86" s="570">
        <v>9</v>
      </c>
      <c r="E86" s="570"/>
      <c r="F86" s="570"/>
      <c r="G86" s="570">
        <v>9.6</v>
      </c>
      <c r="H86" s="570">
        <v>9.9</v>
      </c>
      <c r="I86" s="570">
        <v>10.7</v>
      </c>
      <c r="J86" s="570">
        <v>11</v>
      </c>
      <c r="K86" s="570"/>
      <c r="L86" s="570">
        <v>11.9</v>
      </c>
      <c r="M86" s="570">
        <v>12.8</v>
      </c>
      <c r="N86" s="570">
        <v>13.7</v>
      </c>
      <c r="O86" s="570">
        <v>13.7</v>
      </c>
      <c r="P86" s="570">
        <v>15.5</v>
      </c>
      <c r="Q86" s="570">
        <v>16.399999999999999</v>
      </c>
      <c r="R86" s="570">
        <v>17.3</v>
      </c>
      <c r="S86" s="570">
        <v>18.2</v>
      </c>
      <c r="T86" s="570">
        <v>19.100000000000001</v>
      </c>
      <c r="U86" s="570">
        <v>20</v>
      </c>
      <c r="V86" s="570">
        <v>20.9</v>
      </c>
      <c r="W86" s="486"/>
      <c r="X86" s="487"/>
      <c r="Y86" s="488"/>
      <c r="Z86" s="487"/>
    </row>
    <row r="87" spans="1:26" s="489" customFormat="1" ht="46.5" customHeight="1">
      <c r="A87" s="507"/>
      <c r="B87" s="490" t="s">
        <v>455</v>
      </c>
      <c r="C87" s="491" t="s">
        <v>5</v>
      </c>
      <c r="D87" s="570">
        <v>16</v>
      </c>
      <c r="E87" s="570"/>
      <c r="F87" s="570"/>
      <c r="G87" s="570">
        <v>17</v>
      </c>
      <c r="H87" s="570">
        <v>17.5</v>
      </c>
      <c r="I87" s="570">
        <v>18.899999999999999</v>
      </c>
      <c r="J87" s="570">
        <v>19.5</v>
      </c>
      <c r="K87" s="570"/>
      <c r="L87" s="570">
        <v>21.1</v>
      </c>
      <c r="M87" s="570">
        <v>22.7</v>
      </c>
      <c r="N87" s="570">
        <v>24.3</v>
      </c>
      <c r="O87" s="570">
        <v>25.8</v>
      </c>
      <c r="P87" s="570">
        <v>27.4</v>
      </c>
      <c r="Q87" s="570">
        <v>29</v>
      </c>
      <c r="R87" s="570">
        <v>30.6</v>
      </c>
      <c r="S87" s="570">
        <v>32.200000000000003</v>
      </c>
      <c r="T87" s="570">
        <v>33.799999999999997</v>
      </c>
      <c r="U87" s="570">
        <v>35.4</v>
      </c>
      <c r="V87" s="570">
        <v>37</v>
      </c>
      <c r="W87" s="486"/>
      <c r="X87" s="487"/>
      <c r="Y87" s="488"/>
      <c r="Z87" s="487"/>
    </row>
    <row r="88" spans="1:26" s="489" customFormat="1" ht="36" customHeight="1">
      <c r="A88" s="507"/>
      <c r="B88" s="490" t="s">
        <v>456</v>
      </c>
      <c r="C88" s="491" t="s">
        <v>423</v>
      </c>
      <c r="D88" s="552">
        <v>728100</v>
      </c>
      <c r="E88" s="552"/>
      <c r="F88" s="552"/>
      <c r="G88" s="552">
        <v>699000</v>
      </c>
      <c r="H88" s="552">
        <v>694738</v>
      </c>
      <c r="I88" s="552">
        <v>690162</v>
      </c>
      <c r="J88" s="552">
        <v>678392</v>
      </c>
      <c r="K88" s="570"/>
      <c r="L88" s="531">
        <v>685400</v>
      </c>
      <c r="M88" s="531">
        <v>685000</v>
      </c>
      <c r="N88" s="531">
        <v>689000</v>
      </c>
      <c r="O88" s="531">
        <v>680000</v>
      </c>
      <c r="P88" s="531">
        <v>682000</v>
      </c>
      <c r="Q88" s="531">
        <v>678870.63530295808</v>
      </c>
      <c r="R88" s="531">
        <v>678000</v>
      </c>
      <c r="S88" s="531">
        <v>678000</v>
      </c>
      <c r="T88" s="531">
        <v>700000</v>
      </c>
      <c r="U88" s="531">
        <v>700000</v>
      </c>
      <c r="V88" s="531">
        <v>682776.46456314297</v>
      </c>
      <c r="W88" s="486"/>
      <c r="X88" s="487"/>
      <c r="Y88" s="488"/>
      <c r="Z88" s="487"/>
    </row>
    <row r="89" spans="1:26" s="489" customFormat="1" ht="32.25" customHeight="1">
      <c r="A89" s="507">
        <v>21</v>
      </c>
      <c r="B89" s="490" t="s">
        <v>457</v>
      </c>
      <c r="C89" s="491" t="s">
        <v>423</v>
      </c>
      <c r="D89" s="578">
        <v>22000</v>
      </c>
      <c r="E89" s="559"/>
      <c r="F89" s="559"/>
      <c r="G89" s="579">
        <v>23000</v>
      </c>
      <c r="H89" s="579">
        <v>23576</v>
      </c>
      <c r="I89" s="579">
        <v>24053</v>
      </c>
      <c r="J89" s="579">
        <v>24784</v>
      </c>
      <c r="K89" s="493"/>
      <c r="L89" s="579">
        <v>23000</v>
      </c>
      <c r="M89" s="580">
        <v>22500</v>
      </c>
      <c r="N89" s="580">
        <v>22000</v>
      </c>
      <c r="O89" s="580">
        <v>21000</v>
      </c>
      <c r="P89" s="580">
        <v>21000</v>
      </c>
      <c r="Q89" s="580">
        <v>20000</v>
      </c>
      <c r="R89" s="579">
        <v>19000</v>
      </c>
      <c r="S89" s="581">
        <v>18200</v>
      </c>
      <c r="T89" s="581">
        <v>17500</v>
      </c>
      <c r="U89" s="581">
        <v>17000</v>
      </c>
      <c r="V89" s="581">
        <v>17000</v>
      </c>
      <c r="W89" s="486"/>
      <c r="X89" s="487"/>
      <c r="Y89" s="488"/>
      <c r="Z89" s="487"/>
    </row>
    <row r="90" spans="1:26" s="489" customFormat="1" ht="45">
      <c r="A90" s="565">
        <v>22</v>
      </c>
      <c r="B90" s="490" t="s">
        <v>458</v>
      </c>
      <c r="C90" s="491" t="s">
        <v>5</v>
      </c>
      <c r="D90" s="582">
        <v>5.82</v>
      </c>
      <c r="E90" s="583"/>
      <c r="F90" s="583"/>
      <c r="G90" s="583">
        <v>10.46</v>
      </c>
      <c r="H90" s="583">
        <v>8.56</v>
      </c>
      <c r="I90" s="583">
        <v>6.92</v>
      </c>
      <c r="J90" s="583">
        <v>4.53</v>
      </c>
      <c r="K90" s="493"/>
      <c r="L90" s="583">
        <v>3.5</v>
      </c>
      <c r="M90" s="685" t="s">
        <v>459</v>
      </c>
      <c r="N90" s="686"/>
      <c r="O90" s="686"/>
      <c r="P90" s="686"/>
      <c r="Q90" s="687"/>
      <c r="R90" s="584"/>
      <c r="S90" s="585"/>
      <c r="T90" s="586"/>
      <c r="U90" s="586"/>
      <c r="V90" s="586"/>
      <c r="W90" s="486"/>
      <c r="X90" s="487"/>
      <c r="Y90" s="488"/>
      <c r="Z90" s="487"/>
    </row>
    <row r="91" spans="1:26" s="489" customFormat="1" ht="24" customHeight="1">
      <c r="A91" s="499" t="s">
        <v>114</v>
      </c>
      <c r="B91" s="479" t="s">
        <v>323</v>
      </c>
      <c r="C91" s="491"/>
      <c r="D91" s="559"/>
      <c r="E91" s="559"/>
      <c r="F91" s="559"/>
      <c r="G91" s="556"/>
      <c r="H91" s="556"/>
      <c r="I91" s="556"/>
      <c r="J91" s="556"/>
      <c r="K91" s="493"/>
      <c r="L91" s="493"/>
      <c r="M91" s="559"/>
      <c r="N91" s="559"/>
      <c r="O91" s="559"/>
      <c r="P91" s="559"/>
      <c r="Q91" s="559"/>
      <c r="R91" s="559"/>
      <c r="S91" s="486"/>
      <c r="T91" s="486"/>
      <c r="U91" s="486"/>
      <c r="V91" s="486"/>
      <c r="W91" s="486"/>
      <c r="X91" s="487"/>
      <c r="Y91" s="488"/>
      <c r="Z91" s="487"/>
    </row>
    <row r="92" spans="1:26" s="489" customFormat="1" ht="26.25" customHeight="1">
      <c r="A92" s="507">
        <v>1</v>
      </c>
      <c r="B92" s="490" t="s">
        <v>88</v>
      </c>
      <c r="C92" s="491" t="s">
        <v>5</v>
      </c>
      <c r="D92" s="570">
        <v>52.6</v>
      </c>
      <c r="E92" s="559">
        <v>52.43</v>
      </c>
      <c r="F92" s="559">
        <v>52</v>
      </c>
      <c r="G92" s="556">
        <v>52.22</v>
      </c>
      <c r="H92" s="556">
        <v>52.2</v>
      </c>
      <c r="I92" s="556" t="s">
        <v>389</v>
      </c>
      <c r="J92" s="556" t="s">
        <v>389</v>
      </c>
      <c r="K92" s="493" t="s">
        <v>389</v>
      </c>
      <c r="L92" s="493" t="s">
        <v>389</v>
      </c>
      <c r="M92" s="493" t="s">
        <v>389</v>
      </c>
      <c r="N92" s="493" t="s">
        <v>389</v>
      </c>
      <c r="O92" s="493" t="s">
        <v>389</v>
      </c>
      <c r="P92" s="493" t="s">
        <v>389</v>
      </c>
      <c r="Q92" s="493" t="s">
        <v>389</v>
      </c>
      <c r="R92" s="493" t="s">
        <v>389</v>
      </c>
      <c r="S92" s="556" t="s">
        <v>389</v>
      </c>
      <c r="T92" s="556" t="s">
        <v>389</v>
      </c>
      <c r="U92" s="556" t="s">
        <v>389</v>
      </c>
      <c r="V92" s="556" t="s">
        <v>389</v>
      </c>
      <c r="W92" s="486"/>
      <c r="X92" s="487"/>
      <c r="Y92" s="488"/>
      <c r="Z92" s="487"/>
    </row>
    <row r="93" spans="1:26" s="489" customFormat="1" ht="30.75" hidden="1" customHeight="1">
      <c r="A93" s="507">
        <v>2</v>
      </c>
      <c r="B93" s="490" t="s">
        <v>460</v>
      </c>
      <c r="C93" s="491" t="s">
        <v>5</v>
      </c>
      <c r="D93" s="559"/>
      <c r="E93" s="559"/>
      <c r="F93" s="559"/>
      <c r="G93" s="556"/>
      <c r="H93" s="556"/>
      <c r="I93" s="556"/>
      <c r="J93" s="556"/>
      <c r="K93" s="493"/>
      <c r="L93" s="493"/>
      <c r="M93" s="493"/>
      <c r="N93" s="493"/>
      <c r="O93" s="493"/>
      <c r="P93" s="493"/>
      <c r="Q93" s="493"/>
      <c r="R93" s="493"/>
      <c r="S93" s="556"/>
      <c r="T93" s="486"/>
      <c r="U93" s="486"/>
      <c r="V93" s="486"/>
      <c r="W93" s="486"/>
      <c r="X93" s="487"/>
      <c r="Y93" s="488"/>
      <c r="Z93" s="487"/>
    </row>
    <row r="94" spans="1:26" s="489" customFormat="1" ht="29.25" customHeight="1">
      <c r="A94" s="507">
        <v>3</v>
      </c>
      <c r="B94" s="490" t="s">
        <v>327</v>
      </c>
      <c r="C94" s="491" t="s">
        <v>5</v>
      </c>
      <c r="D94" s="559">
        <v>85</v>
      </c>
      <c r="E94" s="559"/>
      <c r="F94" s="559"/>
      <c r="G94" s="557">
        <v>92</v>
      </c>
      <c r="H94" s="557">
        <v>95</v>
      </c>
      <c r="I94" s="557">
        <v>100</v>
      </c>
      <c r="J94" s="557">
        <v>100</v>
      </c>
      <c r="K94" s="493"/>
      <c r="L94" s="493">
        <v>100</v>
      </c>
      <c r="M94" s="493">
        <v>100</v>
      </c>
      <c r="N94" s="493">
        <v>100</v>
      </c>
      <c r="O94" s="493">
        <v>100</v>
      </c>
      <c r="P94" s="493">
        <v>100</v>
      </c>
      <c r="Q94" s="493">
        <v>100</v>
      </c>
      <c r="R94" s="493">
        <v>100</v>
      </c>
      <c r="S94" s="557">
        <v>100</v>
      </c>
      <c r="T94" s="546">
        <v>100</v>
      </c>
      <c r="U94" s="546">
        <v>100</v>
      </c>
      <c r="V94" s="546">
        <v>100</v>
      </c>
      <c r="W94" s="486"/>
      <c r="X94" s="487"/>
      <c r="Y94" s="488"/>
      <c r="Z94" s="487"/>
    </row>
    <row r="95" spans="1:26" s="489" customFormat="1" ht="33" customHeight="1">
      <c r="A95" s="507">
        <v>4</v>
      </c>
      <c r="B95" s="490" t="s">
        <v>328</v>
      </c>
      <c r="C95" s="491" t="s">
        <v>5</v>
      </c>
      <c r="D95" s="559">
        <v>70.2</v>
      </c>
      <c r="E95" s="559">
        <v>75</v>
      </c>
      <c r="F95" s="559">
        <v>77</v>
      </c>
      <c r="G95" s="556">
        <v>80</v>
      </c>
      <c r="H95" s="556">
        <v>81.400000000000006</v>
      </c>
      <c r="I95" s="556">
        <v>83.666666666666671</v>
      </c>
      <c r="J95" s="556">
        <v>85.933333333333337</v>
      </c>
      <c r="K95" s="493">
        <v>88.2</v>
      </c>
      <c r="L95" s="493">
        <v>90.466666666666669</v>
      </c>
      <c r="M95" s="493">
        <v>92.733333333333334</v>
      </c>
      <c r="N95" s="493">
        <v>95</v>
      </c>
      <c r="O95" s="493">
        <v>96</v>
      </c>
      <c r="P95" s="493">
        <v>97</v>
      </c>
      <c r="Q95" s="493">
        <v>98</v>
      </c>
      <c r="R95" s="493">
        <v>99</v>
      </c>
      <c r="S95" s="556">
        <v>100</v>
      </c>
      <c r="T95" s="486">
        <v>79.333333333333343</v>
      </c>
      <c r="U95" s="486">
        <v>90.466666666666669</v>
      </c>
      <c r="V95" s="486">
        <v>98</v>
      </c>
      <c r="W95" s="486"/>
      <c r="X95" s="487"/>
      <c r="Y95" s="488"/>
      <c r="Z95" s="487"/>
    </row>
    <row r="96" spans="1:26" s="596" customFormat="1" ht="45">
      <c r="A96" s="507">
        <v>5</v>
      </c>
      <c r="B96" s="490" t="s">
        <v>461</v>
      </c>
      <c r="C96" s="491" t="s">
        <v>5</v>
      </c>
      <c r="D96" s="587">
        <v>39.200000000000003</v>
      </c>
      <c r="E96" s="588">
        <v>42</v>
      </c>
      <c r="F96" s="588">
        <v>44.8</v>
      </c>
      <c r="G96" s="589">
        <v>42</v>
      </c>
      <c r="H96" s="589">
        <v>44.8</v>
      </c>
      <c r="I96" s="589">
        <v>47.2</v>
      </c>
      <c r="J96" s="589">
        <v>50.2</v>
      </c>
      <c r="K96" s="507">
        <v>61.2</v>
      </c>
      <c r="L96" s="566">
        <v>54</v>
      </c>
      <c r="M96" s="590">
        <v>57.6</v>
      </c>
      <c r="N96" s="591">
        <v>61.2</v>
      </c>
      <c r="O96" s="590">
        <v>65</v>
      </c>
      <c r="P96" s="590">
        <v>68.5</v>
      </c>
      <c r="Q96" s="590">
        <v>72</v>
      </c>
      <c r="R96" s="590">
        <v>75.7</v>
      </c>
      <c r="S96" s="566">
        <v>79.400000000000006</v>
      </c>
      <c r="T96" s="592">
        <v>83</v>
      </c>
      <c r="U96" s="592">
        <v>86.6</v>
      </c>
      <c r="V96" s="592">
        <v>90</v>
      </c>
      <c r="W96" s="593"/>
      <c r="X96" s="594"/>
      <c r="Y96" s="595"/>
      <c r="Z96" s="594"/>
    </row>
    <row r="97" spans="2:18">
      <c r="G97" s="599"/>
      <c r="H97" s="599"/>
      <c r="I97" s="599"/>
      <c r="J97" s="599"/>
    </row>
    <row r="98" spans="2:18">
      <c r="G98" s="599"/>
      <c r="H98" s="599"/>
      <c r="I98" s="599"/>
      <c r="J98" s="599"/>
    </row>
    <row r="99" spans="2:18">
      <c r="B99" s="489">
        <f>A50+A58+22+5</f>
        <v>47</v>
      </c>
      <c r="G99" s="599"/>
      <c r="H99" s="599"/>
      <c r="I99" s="599"/>
      <c r="J99" s="599"/>
    </row>
    <row r="100" spans="2:18">
      <c r="G100" s="599"/>
      <c r="H100" s="599"/>
      <c r="I100" s="599"/>
      <c r="J100" s="599"/>
    </row>
    <row r="101" spans="2:18">
      <c r="G101" s="599"/>
      <c r="H101" s="599"/>
      <c r="I101" s="599"/>
      <c r="J101" s="599"/>
    </row>
    <row r="102" spans="2:18">
      <c r="G102" s="599"/>
      <c r="H102" s="599"/>
      <c r="I102" s="599"/>
      <c r="J102" s="599"/>
      <c r="M102" s="600"/>
      <c r="N102" s="600"/>
      <c r="O102" s="600"/>
      <c r="P102" s="600"/>
      <c r="Q102" s="600"/>
      <c r="R102" s="600"/>
    </row>
    <row r="103" spans="2:18">
      <c r="G103" s="599"/>
      <c r="H103" s="599"/>
      <c r="I103" s="599"/>
      <c r="J103" s="599"/>
    </row>
    <row r="104" spans="2:18">
      <c r="G104" s="599"/>
      <c r="H104" s="599"/>
      <c r="I104" s="599"/>
      <c r="J104" s="599"/>
    </row>
    <row r="105" spans="2:18">
      <c r="G105" s="599"/>
      <c r="H105" s="599"/>
      <c r="I105" s="599"/>
      <c r="J105" s="599"/>
    </row>
    <row r="106" spans="2:18">
      <c r="G106" s="599"/>
      <c r="H106" s="599"/>
      <c r="I106" s="599"/>
      <c r="J106" s="599"/>
    </row>
    <row r="107" spans="2:18">
      <c r="G107" s="599"/>
      <c r="H107" s="599"/>
      <c r="I107" s="599"/>
      <c r="J107" s="599"/>
    </row>
    <row r="108" spans="2:18">
      <c r="G108" s="599"/>
      <c r="H108" s="599"/>
      <c r="I108" s="599"/>
      <c r="J108" s="599"/>
    </row>
    <row r="109" spans="2:18">
      <c r="G109" s="599"/>
      <c r="H109" s="599"/>
      <c r="I109" s="599"/>
      <c r="J109" s="599"/>
    </row>
    <row r="110" spans="2:18">
      <c r="G110" s="599"/>
      <c r="H110" s="599"/>
      <c r="I110" s="599"/>
      <c r="J110" s="599"/>
    </row>
    <row r="111" spans="2:18">
      <c r="G111" s="599"/>
      <c r="H111" s="599"/>
      <c r="I111" s="599"/>
      <c r="J111" s="599"/>
    </row>
    <row r="112" spans="2:18">
      <c r="G112" s="599"/>
      <c r="H112" s="599"/>
      <c r="I112" s="599"/>
      <c r="J112" s="599"/>
    </row>
  </sheetData>
  <mergeCells count="27">
    <mergeCell ref="X4:X5"/>
    <mergeCell ref="Y4:Y5"/>
    <mergeCell ref="Z4:Z5"/>
    <mergeCell ref="M90:Q90"/>
    <mergeCell ref="Q4:Q5"/>
    <mergeCell ref="R4:R5"/>
    <mergeCell ref="S4:S5"/>
    <mergeCell ref="T4:T5"/>
    <mergeCell ref="U4:U5"/>
    <mergeCell ref="V4:V5"/>
    <mergeCell ref="P4:P5"/>
    <mergeCell ref="A2:Z2"/>
    <mergeCell ref="A4:A5"/>
    <mergeCell ref="B4:B5"/>
    <mergeCell ref="C4:C5"/>
    <mergeCell ref="D4:D5"/>
    <mergeCell ref="E4:F4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W4:W5"/>
  </mergeCells>
  <printOptions horizontalCentered="1"/>
  <pageMargins left="0.118110236220472" right="0.118110236220472" top="0.39370078740157499" bottom="0.39370078740157499" header="0.196850393700787" footer="0.196850393700787"/>
  <pageSetup paperSize="9" scale="57" fitToHeight="0" orientation="landscape" useFirstPageNumber="1" r:id="rId1"/>
  <headerFooter differentFirst="1" alignWithMargins="0">
    <oddHeader>&amp;C&amp;P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V54"/>
  <sheetViews>
    <sheetView workbookViewId="0">
      <selection activeCell="C40" sqref="C40"/>
    </sheetView>
  </sheetViews>
  <sheetFormatPr defaultRowHeight="15" customHeight="1"/>
  <cols>
    <col min="1" max="1" width="6.85546875" style="207" customWidth="1"/>
    <col min="2" max="2" width="5.42578125" style="207" customWidth="1"/>
    <col min="3" max="3" width="41.42578125" style="206" customWidth="1"/>
    <col min="4" max="9" width="8.85546875" style="206" hidden="1" customWidth="1"/>
    <col min="10" max="15" width="14.42578125" style="206" customWidth="1"/>
    <col min="16" max="18" width="9.140625" style="206"/>
    <col min="19" max="19" width="11.5703125" style="206" bestFit="1" customWidth="1"/>
    <col min="20" max="16384" width="9.140625" style="206"/>
  </cols>
  <sheetData>
    <row r="1" spans="1:22" ht="23.25" customHeight="1">
      <c r="A1" s="643" t="s">
        <v>276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</row>
    <row r="2" spans="1:22" ht="49.5" customHeight="1">
      <c r="A2" s="644" t="s">
        <v>280</v>
      </c>
      <c r="B2" s="644"/>
      <c r="C2" s="644"/>
      <c r="D2" s="644"/>
      <c r="E2" s="644"/>
      <c r="F2" s="644"/>
      <c r="G2" s="644"/>
      <c r="H2" s="644"/>
      <c r="I2" s="644"/>
      <c r="J2" s="644"/>
      <c r="K2" s="644"/>
      <c r="L2" s="644"/>
      <c r="M2" s="644"/>
      <c r="N2" s="644"/>
      <c r="O2" s="644"/>
    </row>
    <row r="3" spans="1:22" ht="15" customHeight="1">
      <c r="A3" s="645"/>
      <c r="B3" s="645"/>
      <c r="C3" s="645"/>
      <c r="D3" s="645"/>
      <c r="E3" s="645"/>
      <c r="F3" s="645"/>
      <c r="G3" s="645"/>
      <c r="H3" s="645"/>
      <c r="I3" s="645"/>
      <c r="J3" s="645"/>
      <c r="K3" s="645"/>
      <c r="L3" s="645"/>
      <c r="M3" s="645"/>
      <c r="N3" s="645"/>
      <c r="O3" s="645"/>
    </row>
    <row r="4" spans="1:22" ht="21" customHeight="1">
      <c r="C4" s="208"/>
      <c r="D4" s="208"/>
      <c r="E4" s="208"/>
      <c r="F4" s="208"/>
      <c r="G4" s="208"/>
      <c r="H4" s="208"/>
      <c r="I4" s="208"/>
      <c r="J4" s="208"/>
      <c r="K4" s="208"/>
      <c r="L4" s="209"/>
      <c r="M4" s="646" t="s">
        <v>282</v>
      </c>
      <c r="N4" s="646"/>
      <c r="O4" s="646"/>
    </row>
    <row r="5" spans="1:22" s="212" customFormat="1" ht="38.25" customHeight="1">
      <c r="A5" s="210" t="s">
        <v>0</v>
      </c>
      <c r="B5" s="647" t="s">
        <v>275</v>
      </c>
      <c r="C5" s="648"/>
      <c r="D5" s="210">
        <v>2000</v>
      </c>
      <c r="E5" s="210">
        <v>2001</v>
      </c>
      <c r="F5" s="210">
        <v>2002</v>
      </c>
      <c r="G5" s="210">
        <v>2003</v>
      </c>
      <c r="H5" s="210">
        <v>2004</v>
      </c>
      <c r="I5" s="210">
        <v>2005</v>
      </c>
      <c r="J5" s="210" t="s">
        <v>274</v>
      </c>
      <c r="K5" s="210">
        <v>2011</v>
      </c>
      <c r="L5" s="211">
        <v>2012</v>
      </c>
      <c r="M5" s="210">
        <v>2013</v>
      </c>
      <c r="N5" s="211">
        <v>2014</v>
      </c>
      <c r="O5" s="210">
        <v>2015</v>
      </c>
    </row>
    <row r="6" spans="1:22" s="212" customFormat="1" ht="27" customHeight="1">
      <c r="A6" s="213"/>
      <c r="B6" s="630" t="s">
        <v>213</v>
      </c>
      <c r="C6" s="631"/>
      <c r="D6" s="214"/>
      <c r="E6" s="214"/>
      <c r="F6" s="214"/>
      <c r="G6" s="214"/>
      <c r="H6" s="214"/>
      <c r="I6" s="214"/>
      <c r="J6" s="343" t="e">
        <f>+K6+L6+M6+N6+O6</f>
        <v>#REF!</v>
      </c>
      <c r="K6" s="215" t="e">
        <f>+K8+K10+K23</f>
        <v>#REF!</v>
      </c>
      <c r="L6" s="215" t="e">
        <f>+L8+L10+L23</f>
        <v>#REF!</v>
      </c>
      <c r="M6" s="215" t="e">
        <f>+M8+M10+M23</f>
        <v>#REF!</v>
      </c>
      <c r="N6" s="215" t="e">
        <f>+N8+N10+N23</f>
        <v>#REF!</v>
      </c>
      <c r="O6" s="215" t="e">
        <f>+O8+O10+O23</f>
        <v>#REF!</v>
      </c>
    </row>
    <row r="7" spans="1:22" ht="30" hidden="1" customHeight="1">
      <c r="A7" s="216"/>
      <c r="B7" s="638"/>
      <c r="C7" s="639"/>
      <c r="D7" s="344"/>
      <c r="E7" s="345"/>
      <c r="F7" s="345"/>
      <c r="G7" s="345"/>
      <c r="H7" s="345"/>
      <c r="I7" s="345"/>
      <c r="J7" s="346" t="e">
        <f t="shared" ref="J7:O7" si="0">+J9+J14+J16+J18+J20+J22+J27+J29+J31+J33+J35+J37+J39+J41+J43+J45+J47+J49+J51</f>
        <v>#REF!</v>
      </c>
      <c r="K7" s="346" t="e">
        <f t="shared" si="0"/>
        <v>#REF!</v>
      </c>
      <c r="L7" s="346" t="e">
        <f t="shared" si="0"/>
        <v>#REF!</v>
      </c>
      <c r="M7" s="347" t="e">
        <f t="shared" si="0"/>
        <v>#REF!</v>
      </c>
      <c r="N7" s="346" t="e">
        <f t="shared" si="0"/>
        <v>#REF!</v>
      </c>
      <c r="O7" s="346" t="e">
        <f t="shared" si="0"/>
        <v>#REF!</v>
      </c>
      <c r="P7" s="217"/>
      <c r="Q7" s="218"/>
      <c r="S7" s="219"/>
      <c r="T7" s="218"/>
      <c r="V7" s="219"/>
    </row>
    <row r="8" spans="1:22" ht="18" customHeight="1">
      <c r="A8" s="216">
        <v>1</v>
      </c>
      <c r="B8" s="640" t="s">
        <v>214</v>
      </c>
      <c r="C8" s="641"/>
      <c r="D8" s="348" t="e">
        <f>+#REF!+#REF!</f>
        <v>#REF!</v>
      </c>
      <c r="E8" s="349" t="e">
        <f>+#REF!+#REF!</f>
        <v>#REF!</v>
      </c>
      <c r="F8" s="349" t="e">
        <f>+#REF!+#REF!</f>
        <v>#REF!</v>
      </c>
      <c r="G8" s="349" t="e">
        <f>+#REF!+#REF!</f>
        <v>#REF!</v>
      </c>
      <c r="H8" s="349" t="e">
        <f>+#REF!+#REF!</f>
        <v>#REF!</v>
      </c>
      <c r="I8" s="349" t="e">
        <f>+#REF!+#REF!</f>
        <v>#REF!</v>
      </c>
      <c r="J8" s="350" t="e">
        <f>+K8+L8+M8+N8+O8</f>
        <v>#REF!</v>
      </c>
      <c r="K8" s="350" t="e">
        <f>+K$54*K9/100</f>
        <v>#REF!</v>
      </c>
      <c r="L8" s="350" t="e">
        <f>+L$54*L9/100</f>
        <v>#REF!</v>
      </c>
      <c r="M8" s="351" t="e">
        <f>+M$54*M9/100</f>
        <v>#REF!</v>
      </c>
      <c r="N8" s="350" t="e">
        <f>+N$54*N9/100</f>
        <v>#REF!</v>
      </c>
      <c r="O8" s="350" t="e">
        <f>+O$54*O9/100</f>
        <v>#REF!</v>
      </c>
      <c r="P8" s="219"/>
      <c r="Q8" s="218"/>
      <c r="S8" s="219"/>
      <c r="T8" s="218"/>
      <c r="V8" s="219"/>
    </row>
    <row r="9" spans="1:22" s="223" customFormat="1" ht="18" customHeight="1">
      <c r="A9" s="220"/>
      <c r="B9" s="634" t="s">
        <v>215</v>
      </c>
      <c r="C9" s="635"/>
      <c r="D9" s="352"/>
      <c r="E9" s="353"/>
      <c r="F9" s="353"/>
      <c r="G9" s="353"/>
      <c r="H9" s="353"/>
      <c r="I9" s="353"/>
      <c r="J9" s="354">
        <v>6.2</v>
      </c>
      <c r="K9" s="354">
        <v>6.2</v>
      </c>
      <c r="L9" s="354">
        <v>6.2</v>
      </c>
      <c r="M9" s="355">
        <v>6.2</v>
      </c>
      <c r="N9" s="354">
        <v>6.2</v>
      </c>
      <c r="O9" s="354">
        <v>6.2</v>
      </c>
      <c r="P9" s="221"/>
      <c r="Q9" s="222"/>
      <c r="S9" s="221"/>
      <c r="T9" s="222"/>
      <c r="V9" s="221"/>
    </row>
    <row r="10" spans="1:22" ht="18" customHeight="1">
      <c r="A10" s="216">
        <v>2</v>
      </c>
      <c r="B10" s="640" t="s">
        <v>216</v>
      </c>
      <c r="C10" s="641"/>
      <c r="D10" s="348"/>
      <c r="E10" s="349"/>
      <c r="F10" s="349"/>
      <c r="G10" s="349"/>
      <c r="H10" s="349"/>
      <c r="I10" s="349"/>
      <c r="J10" s="350" t="e">
        <f>+J13+J15+J17+J19+J21</f>
        <v>#REF!</v>
      </c>
      <c r="K10" s="350" t="e">
        <f t="shared" ref="K10:O11" si="1">+K13+K15+K17+K19+K21</f>
        <v>#REF!</v>
      </c>
      <c r="L10" s="350" t="e">
        <f t="shared" si="1"/>
        <v>#REF!</v>
      </c>
      <c r="M10" s="351" t="e">
        <f t="shared" si="1"/>
        <v>#REF!</v>
      </c>
      <c r="N10" s="350" t="e">
        <f t="shared" si="1"/>
        <v>#REF!</v>
      </c>
      <c r="O10" s="350" t="e">
        <f t="shared" si="1"/>
        <v>#REF!</v>
      </c>
      <c r="P10" s="219"/>
      <c r="Q10" s="218"/>
      <c r="S10" s="219"/>
      <c r="T10" s="218"/>
      <c r="V10" s="219"/>
    </row>
    <row r="11" spans="1:22" s="223" customFormat="1" ht="18" customHeight="1">
      <c r="A11" s="220"/>
      <c r="B11" s="642" t="s">
        <v>215</v>
      </c>
      <c r="C11" s="635"/>
      <c r="D11" s="353"/>
      <c r="E11" s="353"/>
      <c r="F11" s="353"/>
      <c r="G11" s="353"/>
      <c r="H11" s="353"/>
      <c r="I11" s="353"/>
      <c r="J11" s="354" t="e">
        <f>+J14+J16+J18+J20+J22</f>
        <v>#REF!</v>
      </c>
      <c r="K11" s="354">
        <f t="shared" si="1"/>
        <v>41.8</v>
      </c>
      <c r="L11" s="354">
        <f t="shared" si="1"/>
        <v>42.5</v>
      </c>
      <c r="M11" s="354">
        <f t="shared" si="1"/>
        <v>43.3</v>
      </c>
      <c r="N11" s="354">
        <f t="shared" si="1"/>
        <v>44.000000000000007</v>
      </c>
      <c r="O11" s="354">
        <f t="shared" si="1"/>
        <v>44.800000000000004</v>
      </c>
    </row>
    <row r="12" spans="1:22" s="223" customFormat="1" ht="18" customHeight="1">
      <c r="A12" s="220"/>
      <c r="B12" s="642" t="s">
        <v>212</v>
      </c>
      <c r="C12" s="635"/>
      <c r="D12" s="353"/>
      <c r="E12" s="353"/>
      <c r="F12" s="353"/>
      <c r="G12" s="353"/>
      <c r="H12" s="353"/>
      <c r="I12" s="353"/>
      <c r="J12" s="354"/>
      <c r="K12" s="354"/>
      <c r="L12" s="354"/>
      <c r="M12" s="354"/>
      <c r="N12" s="354"/>
      <c r="O12" s="354"/>
    </row>
    <row r="13" spans="1:22" ht="27" customHeight="1">
      <c r="A13" s="224"/>
      <c r="B13" s="225"/>
      <c r="C13" s="226" t="s">
        <v>218</v>
      </c>
      <c r="D13" s="227">
        <v>9588</v>
      </c>
      <c r="E13" s="227">
        <v>8141.1</v>
      </c>
      <c r="F13" s="227">
        <v>7964</v>
      </c>
      <c r="G13" s="227">
        <v>11342</v>
      </c>
      <c r="H13" s="227">
        <v>22477</v>
      </c>
      <c r="I13" s="227">
        <v>26862</v>
      </c>
      <c r="J13" s="237" t="e">
        <f>+K13+L13+M13+N13+O13</f>
        <v>#REF!</v>
      </c>
      <c r="K13" s="237" t="e">
        <f>+K$54*K14/100</f>
        <v>#REF!</v>
      </c>
      <c r="L13" s="237" t="e">
        <f>+L$54*L14/100</f>
        <v>#REF!</v>
      </c>
      <c r="M13" s="237" t="e">
        <f>+M$54*M14/100</f>
        <v>#REF!</v>
      </c>
      <c r="N13" s="237" t="e">
        <f>+N$54*N14/100</f>
        <v>#REF!</v>
      </c>
      <c r="O13" s="237" t="e">
        <f>+O$54*O14/100</f>
        <v>#REF!</v>
      </c>
    </row>
    <row r="14" spans="1:22" s="223" customFormat="1" ht="26.25" customHeight="1">
      <c r="A14" s="228"/>
      <c r="B14" s="229"/>
      <c r="C14" s="230" t="s">
        <v>215</v>
      </c>
      <c r="D14" s="356"/>
      <c r="E14" s="356"/>
      <c r="F14" s="356"/>
      <c r="G14" s="356"/>
      <c r="H14" s="356"/>
      <c r="I14" s="356"/>
      <c r="J14" s="357" t="e">
        <f>100*J13/J$54</f>
        <v>#REF!</v>
      </c>
      <c r="K14" s="357">
        <v>8.1999999999999993</v>
      </c>
      <c r="L14" s="357">
        <v>7.8</v>
      </c>
      <c r="M14" s="357">
        <v>7.4</v>
      </c>
      <c r="N14" s="357">
        <v>7</v>
      </c>
      <c r="O14" s="357">
        <v>6.6</v>
      </c>
    </row>
    <row r="15" spans="1:22" ht="25.5" customHeight="1">
      <c r="A15" s="224"/>
      <c r="B15" s="225"/>
      <c r="C15" s="226" t="s">
        <v>219</v>
      </c>
      <c r="D15" s="227">
        <v>29172</v>
      </c>
      <c r="E15" s="227">
        <v>38140.5</v>
      </c>
      <c r="F15" s="227">
        <v>45337</v>
      </c>
      <c r="G15" s="227">
        <v>51060</v>
      </c>
      <c r="H15" s="227">
        <v>58715</v>
      </c>
      <c r="I15" s="227">
        <v>68297</v>
      </c>
      <c r="J15" s="237" t="e">
        <f>+K15+L15+M15+N15+O15</f>
        <v>#REF!</v>
      </c>
      <c r="K15" s="237" t="e">
        <f>+K$54*K16/100</f>
        <v>#REF!</v>
      </c>
      <c r="L15" s="237" t="e">
        <f>+L$54*L16/100</f>
        <v>#REF!</v>
      </c>
      <c r="M15" s="237" t="e">
        <f>+M$54*M16/100</f>
        <v>#REF!</v>
      </c>
      <c r="N15" s="237" t="e">
        <f>+N$54*N16/100</f>
        <v>#REF!</v>
      </c>
      <c r="O15" s="237" t="e">
        <f>+O$54*O16/100</f>
        <v>#REF!</v>
      </c>
      <c r="R15" s="206">
        <v>43550</v>
      </c>
      <c r="S15" s="231" t="e">
        <f>+L17+L19</f>
        <v>#REF!</v>
      </c>
    </row>
    <row r="16" spans="1:22" s="223" customFormat="1" ht="24" customHeight="1">
      <c r="A16" s="228"/>
      <c r="B16" s="229"/>
      <c r="C16" s="230" t="s">
        <v>215</v>
      </c>
      <c r="D16" s="356"/>
      <c r="E16" s="356"/>
      <c r="F16" s="356"/>
      <c r="G16" s="356"/>
      <c r="H16" s="356"/>
      <c r="I16" s="356"/>
      <c r="J16" s="357" t="e">
        <f>100*J15/J$54</f>
        <v>#REF!</v>
      </c>
      <c r="K16" s="357">
        <v>17.5</v>
      </c>
      <c r="L16" s="357">
        <v>18</v>
      </c>
      <c r="M16" s="357">
        <v>18.5</v>
      </c>
      <c r="N16" s="357">
        <v>19</v>
      </c>
      <c r="O16" s="357">
        <v>19.5</v>
      </c>
    </row>
    <row r="17" spans="1:22" ht="39" customHeight="1">
      <c r="A17" s="224"/>
      <c r="B17" s="225"/>
      <c r="C17" s="226" t="s">
        <v>220</v>
      </c>
      <c r="D17" s="227">
        <v>16983</v>
      </c>
      <c r="E17" s="227">
        <v>16921.599999999999</v>
      </c>
      <c r="F17" s="227">
        <v>20943</v>
      </c>
      <c r="G17" s="227">
        <v>24884</v>
      </c>
      <c r="H17" s="227">
        <v>31983</v>
      </c>
      <c r="I17" s="227">
        <v>37743</v>
      </c>
      <c r="J17" s="237" t="e">
        <f>+K17+L17+M17+N17+O17</f>
        <v>#REF!</v>
      </c>
      <c r="K17" s="237" t="e">
        <f>+K$54*K18/100</f>
        <v>#REF!</v>
      </c>
      <c r="L17" s="237" t="e">
        <f>+L$54*L18/100</f>
        <v>#REF!</v>
      </c>
      <c r="M17" s="237" t="e">
        <f>+M$54*M18/100</f>
        <v>#REF!</v>
      </c>
      <c r="N17" s="237" t="e">
        <f>+N$54*N18/100</f>
        <v>#REF!</v>
      </c>
      <c r="O17" s="237" t="e">
        <f>+O$54*O18/100</f>
        <v>#REF!</v>
      </c>
      <c r="S17" s="206" t="e">
        <f>+L17/S15</f>
        <v>#REF!</v>
      </c>
    </row>
    <row r="18" spans="1:22" s="223" customFormat="1" ht="22.5" customHeight="1">
      <c r="A18" s="228"/>
      <c r="B18" s="229"/>
      <c r="C18" s="230" t="s">
        <v>215</v>
      </c>
      <c r="D18" s="356"/>
      <c r="E18" s="356"/>
      <c r="F18" s="356"/>
      <c r="G18" s="356"/>
      <c r="H18" s="356"/>
      <c r="I18" s="356"/>
      <c r="J18" s="357" t="e">
        <f>100*J17/J$54</f>
        <v>#REF!</v>
      </c>
      <c r="K18" s="357">
        <v>9.5</v>
      </c>
      <c r="L18" s="357">
        <v>9.6999999999999993</v>
      </c>
      <c r="M18" s="357">
        <v>10</v>
      </c>
      <c r="N18" s="357">
        <v>10.199999999999999</v>
      </c>
      <c r="O18" s="357">
        <v>10.5</v>
      </c>
    </row>
    <row r="19" spans="1:22" ht="36.75" customHeight="1">
      <c r="A19" s="224"/>
      <c r="B19" s="225"/>
      <c r="C19" s="226" t="s">
        <v>221</v>
      </c>
      <c r="D19" s="227"/>
      <c r="E19" s="227"/>
      <c r="F19" s="227"/>
      <c r="G19" s="227"/>
      <c r="H19" s="227"/>
      <c r="I19" s="227"/>
      <c r="J19" s="237" t="e">
        <f>+K19+L19+M19+N19+O19</f>
        <v>#REF!</v>
      </c>
      <c r="K19" s="237" t="e">
        <f>+K$54*K20/100</f>
        <v>#REF!</v>
      </c>
      <c r="L19" s="237" t="e">
        <f>+L$54*L20/100</f>
        <v>#REF!</v>
      </c>
      <c r="M19" s="237" t="e">
        <f>+M$54*M20/100</f>
        <v>#REF!</v>
      </c>
      <c r="N19" s="237" t="e">
        <f>+N$54*N20/100</f>
        <v>#REF!</v>
      </c>
      <c r="O19" s="237" t="e">
        <f>+O$54*O20/100</f>
        <v>#REF!</v>
      </c>
      <c r="S19" s="206" t="e">
        <f>+L19/S15</f>
        <v>#REF!</v>
      </c>
    </row>
    <row r="20" spans="1:22" s="223" customFormat="1" ht="18" customHeight="1">
      <c r="A20" s="228"/>
      <c r="B20" s="229"/>
      <c r="C20" s="230" t="s">
        <v>215</v>
      </c>
      <c r="D20" s="356"/>
      <c r="E20" s="356"/>
      <c r="F20" s="356"/>
      <c r="G20" s="356"/>
      <c r="H20" s="356"/>
      <c r="I20" s="356"/>
      <c r="J20" s="357" t="e">
        <f>100*J19/J$54</f>
        <v>#REF!</v>
      </c>
      <c r="K20" s="357">
        <v>2.8</v>
      </c>
      <c r="L20" s="357">
        <v>2.9</v>
      </c>
      <c r="M20" s="357">
        <v>3</v>
      </c>
      <c r="N20" s="357">
        <v>3.1</v>
      </c>
      <c r="O20" s="357">
        <v>3.2</v>
      </c>
    </row>
    <row r="21" spans="1:22" ht="24.75" customHeight="1">
      <c r="A21" s="224"/>
      <c r="B21" s="225"/>
      <c r="C21" s="226" t="s">
        <v>222</v>
      </c>
      <c r="D21" s="227">
        <v>3563</v>
      </c>
      <c r="E21" s="227">
        <v>9045.7999999999993</v>
      </c>
      <c r="F21" s="227">
        <v>10490</v>
      </c>
      <c r="G21" s="227">
        <v>11508</v>
      </c>
      <c r="H21" s="227">
        <v>11197</v>
      </c>
      <c r="I21" s="227">
        <v>13202</v>
      </c>
      <c r="J21" s="237" t="e">
        <f>+K21+L21+M21+N21+O21</f>
        <v>#REF!</v>
      </c>
      <c r="K21" s="237" t="e">
        <f>+K$54*K22/100</f>
        <v>#REF!</v>
      </c>
      <c r="L21" s="237" t="e">
        <f>+L$54*L22/100</f>
        <v>#REF!</v>
      </c>
      <c r="M21" s="237" t="e">
        <f>+M$54*M22/100</f>
        <v>#REF!</v>
      </c>
      <c r="N21" s="237" t="e">
        <f>+N$54*N22/100</f>
        <v>#REF!</v>
      </c>
      <c r="O21" s="237" t="e">
        <f>+O$54*O22/100</f>
        <v>#REF!</v>
      </c>
    </row>
    <row r="22" spans="1:22" s="223" customFormat="1" ht="21" customHeight="1">
      <c r="A22" s="220"/>
      <c r="B22" s="232"/>
      <c r="C22" s="230" t="s">
        <v>215</v>
      </c>
      <c r="D22" s="352"/>
      <c r="E22" s="353"/>
      <c r="F22" s="353"/>
      <c r="G22" s="353"/>
      <c r="H22" s="353"/>
      <c r="I22" s="353"/>
      <c r="J22" s="358" t="e">
        <f>100*J21/J$54</f>
        <v>#REF!</v>
      </c>
      <c r="K22" s="354">
        <v>3.8</v>
      </c>
      <c r="L22" s="354">
        <v>4.0999999999999996</v>
      </c>
      <c r="M22" s="355">
        <v>4.4000000000000004</v>
      </c>
      <c r="N22" s="354">
        <v>4.7</v>
      </c>
      <c r="O22" s="354">
        <v>5</v>
      </c>
      <c r="P22" s="221"/>
      <c r="Q22" s="222"/>
      <c r="S22" s="221"/>
      <c r="T22" s="222"/>
      <c r="V22" s="221"/>
    </row>
    <row r="23" spans="1:22" s="223" customFormat="1" ht="23.25" customHeight="1">
      <c r="A23" s="224">
        <v>3</v>
      </c>
      <c r="B23" s="632" t="s">
        <v>147</v>
      </c>
      <c r="C23" s="633"/>
      <c r="D23" s="352"/>
      <c r="E23" s="353"/>
      <c r="F23" s="353"/>
      <c r="G23" s="353"/>
      <c r="H23" s="353"/>
      <c r="I23" s="353"/>
      <c r="J23" s="359" t="e">
        <f t="shared" ref="J23:O24" si="2">+J26+J28+J30+J32+J34+J36+J38+J40+J44+J46+J50</f>
        <v>#REF!</v>
      </c>
      <c r="K23" s="350" t="e">
        <f t="shared" si="2"/>
        <v>#REF!</v>
      </c>
      <c r="L23" s="350" t="e">
        <f t="shared" si="2"/>
        <v>#REF!</v>
      </c>
      <c r="M23" s="351" t="e">
        <f t="shared" si="2"/>
        <v>#REF!</v>
      </c>
      <c r="N23" s="350" t="e">
        <f t="shared" si="2"/>
        <v>#REF!</v>
      </c>
      <c r="O23" s="350" t="e">
        <f t="shared" si="2"/>
        <v>#REF!</v>
      </c>
      <c r="P23" s="221"/>
      <c r="Q23" s="222"/>
      <c r="S23" s="221"/>
      <c r="T23" s="222"/>
    </row>
    <row r="24" spans="1:22" s="223" customFormat="1" ht="18" customHeight="1">
      <c r="A24" s="228"/>
      <c r="B24" s="634" t="s">
        <v>215</v>
      </c>
      <c r="C24" s="635"/>
      <c r="D24" s="352"/>
      <c r="E24" s="353"/>
      <c r="F24" s="353"/>
      <c r="G24" s="353"/>
      <c r="H24" s="353"/>
      <c r="I24" s="353"/>
      <c r="J24" s="358" t="e">
        <f t="shared" si="2"/>
        <v>#REF!</v>
      </c>
      <c r="K24" s="354" t="e">
        <f t="shared" si="2"/>
        <v>#REF!</v>
      </c>
      <c r="L24" s="354" t="e">
        <f t="shared" si="2"/>
        <v>#REF!</v>
      </c>
      <c r="M24" s="355" t="e">
        <f t="shared" si="2"/>
        <v>#REF!</v>
      </c>
      <c r="N24" s="354" t="e">
        <f t="shared" si="2"/>
        <v>#REF!</v>
      </c>
      <c r="O24" s="354" t="e">
        <f t="shared" si="2"/>
        <v>#REF!</v>
      </c>
      <c r="P24" s="221"/>
      <c r="Q24" s="222"/>
      <c r="S24" s="221"/>
      <c r="T24" s="222"/>
      <c r="V24" s="221"/>
    </row>
    <row r="25" spans="1:22" s="223" customFormat="1" ht="18" customHeight="1">
      <c r="A25" s="228"/>
      <c r="B25" s="636" t="s">
        <v>217</v>
      </c>
      <c r="C25" s="637"/>
      <c r="D25" s="353"/>
      <c r="E25" s="353"/>
      <c r="F25" s="353"/>
      <c r="G25" s="353"/>
      <c r="H25" s="353"/>
      <c r="I25" s="353"/>
      <c r="J25" s="354"/>
      <c r="K25" s="354"/>
      <c r="L25" s="354"/>
      <c r="M25" s="355"/>
      <c r="N25" s="354"/>
      <c r="O25" s="354"/>
      <c r="P25" s="221"/>
      <c r="Q25" s="222"/>
      <c r="S25" s="221"/>
      <c r="T25" s="222"/>
    </row>
    <row r="26" spans="1:22" ht="36" customHeight="1">
      <c r="A26" s="224"/>
      <c r="B26" s="233"/>
      <c r="C26" s="226" t="s">
        <v>223</v>
      </c>
      <c r="D26" s="234">
        <v>3035</v>
      </c>
      <c r="E26" s="227">
        <v>7953</v>
      </c>
      <c r="F26" s="227">
        <v>11962</v>
      </c>
      <c r="G26" s="227">
        <v>14763</v>
      </c>
      <c r="H26" s="227">
        <v>15659</v>
      </c>
      <c r="I26" s="227">
        <v>18359</v>
      </c>
      <c r="J26" s="237" t="e">
        <f>+K26+L26+M26+N26+O26</f>
        <v>#REF!</v>
      </c>
      <c r="K26" s="237" t="e">
        <f>+K$54*K27/100</f>
        <v>#REF!</v>
      </c>
      <c r="L26" s="237" t="e">
        <f>+L$54*L27/100</f>
        <v>#REF!</v>
      </c>
      <c r="M26" s="360" t="e">
        <f>+M$54*M27/100</f>
        <v>#REF!</v>
      </c>
      <c r="N26" s="237" t="e">
        <f>+N$54*N27/100</f>
        <v>#REF!</v>
      </c>
      <c r="O26" s="237" t="e">
        <f>+O$54*O27/100</f>
        <v>#REF!</v>
      </c>
      <c r="P26" s="219"/>
      <c r="Q26" s="218"/>
      <c r="R26" s="206">
        <v>58410</v>
      </c>
      <c r="S26" s="235" t="e">
        <f>+L28+L32</f>
        <v>#REF!</v>
      </c>
      <c r="T26" s="218"/>
      <c r="V26" s="219"/>
    </row>
    <row r="27" spans="1:22" s="223" customFormat="1" ht="18" customHeight="1">
      <c r="A27" s="228"/>
      <c r="B27" s="229"/>
      <c r="C27" s="230" t="s">
        <v>215</v>
      </c>
      <c r="D27" s="356"/>
      <c r="E27" s="356"/>
      <c r="F27" s="356"/>
      <c r="G27" s="356"/>
      <c r="H27" s="356"/>
      <c r="I27" s="356"/>
      <c r="J27" s="357" t="e">
        <f>100*J26/J$54</f>
        <v>#REF!</v>
      </c>
      <c r="K27" s="357">
        <v>4.2</v>
      </c>
      <c r="L27" s="357">
        <v>4.2</v>
      </c>
      <c r="M27" s="357">
        <v>4.2</v>
      </c>
      <c r="N27" s="357">
        <v>4.2</v>
      </c>
      <c r="O27" s="357">
        <v>4.2</v>
      </c>
    </row>
    <row r="28" spans="1:22" ht="18" customHeight="1">
      <c r="A28" s="224"/>
      <c r="B28" s="225"/>
      <c r="C28" s="226" t="s">
        <v>224</v>
      </c>
      <c r="D28" s="227">
        <v>19913</v>
      </c>
      <c r="E28" s="227">
        <v>26999.1</v>
      </c>
      <c r="F28" s="227">
        <v>32398</v>
      </c>
      <c r="G28" s="227">
        <v>38226</v>
      </c>
      <c r="H28" s="227">
        <v>39381</v>
      </c>
      <c r="I28" s="227">
        <v>48252</v>
      </c>
      <c r="J28" s="237" t="e">
        <f>+K28+L28+M28+N28+O28</f>
        <v>#REF!</v>
      </c>
      <c r="K28" s="237" t="e">
        <f>+K$54*K29/100</f>
        <v>#REF!</v>
      </c>
      <c r="L28" s="237" t="e">
        <f>+L$54*L29/100</f>
        <v>#REF!</v>
      </c>
      <c r="M28" s="237" t="e">
        <f>+M$54*M29/100</f>
        <v>#REF!</v>
      </c>
      <c r="N28" s="237" t="e">
        <f>+N$54*N29/100</f>
        <v>#REF!</v>
      </c>
      <c r="O28" s="237" t="e">
        <f>+O$54*O29/100</f>
        <v>#REF!</v>
      </c>
      <c r="S28" s="206" t="e">
        <f>+L28/S26</f>
        <v>#REF!</v>
      </c>
    </row>
    <row r="29" spans="1:22" s="223" customFormat="1" ht="18" customHeight="1">
      <c r="A29" s="228"/>
      <c r="B29" s="229"/>
      <c r="C29" s="230" t="s">
        <v>215</v>
      </c>
      <c r="D29" s="356"/>
      <c r="E29" s="356"/>
      <c r="F29" s="356"/>
      <c r="G29" s="356"/>
      <c r="H29" s="356"/>
      <c r="I29" s="356"/>
      <c r="J29" s="357" t="e">
        <f>100*J28/J$54</f>
        <v>#REF!</v>
      </c>
      <c r="K29" s="357">
        <v>12.3</v>
      </c>
      <c r="L29" s="357">
        <v>12.6</v>
      </c>
      <c r="M29" s="357">
        <v>12.9</v>
      </c>
      <c r="N29" s="357">
        <v>13.2</v>
      </c>
      <c r="O29" s="357">
        <v>13.5</v>
      </c>
    </row>
    <row r="30" spans="1:22" ht="18" customHeight="1">
      <c r="A30" s="224"/>
      <c r="B30" s="225"/>
      <c r="C30" s="226" t="s">
        <v>225</v>
      </c>
      <c r="D30" s="227">
        <v>4453</v>
      </c>
      <c r="E30" s="227">
        <v>2974.7</v>
      </c>
      <c r="F30" s="227">
        <v>3847</v>
      </c>
      <c r="G30" s="227">
        <v>4230</v>
      </c>
      <c r="H30" s="227">
        <v>5549</v>
      </c>
      <c r="I30" s="227">
        <v>6628</v>
      </c>
      <c r="J30" s="237" t="e">
        <f>+K30+L30+M30+N30+O30</f>
        <v>#REF!</v>
      </c>
      <c r="K30" s="237" t="e">
        <f>+K$54*K31/100</f>
        <v>#REF!</v>
      </c>
      <c r="L30" s="237" t="e">
        <f>+L$54*L31/100</f>
        <v>#REF!</v>
      </c>
      <c r="M30" s="237" t="e">
        <f>+M$54*M31/100</f>
        <v>#REF!</v>
      </c>
      <c r="N30" s="237" t="e">
        <f>+N$54*N31/100</f>
        <v>#REF!</v>
      </c>
      <c r="O30" s="237" t="e">
        <f>+O$54*O31/100</f>
        <v>#REF!</v>
      </c>
      <c r="S30" s="206" t="e">
        <f>+L32/S26</f>
        <v>#REF!</v>
      </c>
    </row>
    <row r="31" spans="1:22" s="223" customFormat="1" ht="18" customHeight="1">
      <c r="A31" s="228"/>
      <c r="B31" s="229"/>
      <c r="C31" s="230" t="s">
        <v>215</v>
      </c>
      <c r="D31" s="356"/>
      <c r="E31" s="356"/>
      <c r="F31" s="356"/>
      <c r="G31" s="356"/>
      <c r="H31" s="356"/>
      <c r="I31" s="356"/>
      <c r="J31" s="357" t="e">
        <f>100*J30/J$54</f>
        <v>#REF!</v>
      </c>
      <c r="K31" s="357">
        <v>2.1</v>
      </c>
      <c r="L31" s="357">
        <v>2.1</v>
      </c>
      <c r="M31" s="357">
        <v>2.1</v>
      </c>
      <c r="N31" s="357">
        <v>2.1</v>
      </c>
      <c r="O31" s="357">
        <v>2.1</v>
      </c>
    </row>
    <row r="32" spans="1:22" ht="18" customHeight="1">
      <c r="A32" s="224"/>
      <c r="B32" s="225"/>
      <c r="C32" s="226" t="s">
        <v>226</v>
      </c>
      <c r="D32" s="227"/>
      <c r="E32" s="227"/>
      <c r="F32" s="227"/>
      <c r="G32" s="227"/>
      <c r="H32" s="227"/>
      <c r="I32" s="227"/>
      <c r="J32" s="237" t="e">
        <f>+K32+L32+M32+N32+O32</f>
        <v>#REF!</v>
      </c>
      <c r="K32" s="237" t="e">
        <f>+K$54*K33/100</f>
        <v>#REF!</v>
      </c>
      <c r="L32" s="237" t="e">
        <f>+L$54*L33/100</f>
        <v>#REF!</v>
      </c>
      <c r="M32" s="237" t="e">
        <f>+M$54*M33/100</f>
        <v>#REF!</v>
      </c>
      <c r="N32" s="237" t="e">
        <f>+N$54*N33/100</f>
        <v>#REF!</v>
      </c>
      <c r="O32" s="237" t="e">
        <f>+O$54*O33/100</f>
        <v>#REF!</v>
      </c>
      <c r="S32" s="231"/>
    </row>
    <row r="33" spans="1:22" s="223" customFormat="1" ht="18" customHeight="1">
      <c r="A33" s="228"/>
      <c r="B33" s="229"/>
      <c r="C33" s="230" t="s">
        <v>215</v>
      </c>
      <c r="D33" s="356"/>
      <c r="E33" s="356"/>
      <c r="F33" s="356"/>
      <c r="G33" s="356"/>
      <c r="H33" s="356"/>
      <c r="I33" s="356"/>
      <c r="J33" s="357" t="e">
        <f>100*J32/J$54</f>
        <v>#REF!</v>
      </c>
      <c r="K33" s="357">
        <v>3.6</v>
      </c>
      <c r="L33" s="357">
        <v>3.6</v>
      </c>
      <c r="M33" s="357">
        <v>3.6</v>
      </c>
      <c r="N33" s="357">
        <v>3.6</v>
      </c>
      <c r="O33" s="357">
        <v>3.6</v>
      </c>
    </row>
    <row r="34" spans="1:22" ht="28.5" customHeight="1">
      <c r="A34" s="224"/>
      <c r="B34" s="225"/>
      <c r="C34" s="226" t="s">
        <v>227</v>
      </c>
      <c r="D34" s="227">
        <v>1303</v>
      </c>
      <c r="E34" s="227">
        <v>2017.6</v>
      </c>
      <c r="F34" s="227">
        <v>1120</v>
      </c>
      <c r="G34" s="227">
        <v>1983</v>
      </c>
      <c r="H34" s="227">
        <v>1800</v>
      </c>
      <c r="I34" s="227">
        <v>2174</v>
      </c>
      <c r="J34" s="237" t="e">
        <f>+K34+L34+M34+N34+O34</f>
        <v>#REF!</v>
      </c>
      <c r="K34" s="237" t="e">
        <f>+K$54*K35/100</f>
        <v>#REF!</v>
      </c>
      <c r="L34" s="237" t="e">
        <f>+L$54*L35/100</f>
        <v>#REF!</v>
      </c>
      <c r="M34" s="237" t="e">
        <f>+M$54*M35/100</f>
        <v>#REF!</v>
      </c>
      <c r="N34" s="237" t="e">
        <f>+N$54*N35/100</f>
        <v>#REF!</v>
      </c>
      <c r="O34" s="237" t="e">
        <f>+O$54*O35/100</f>
        <v>#REF!</v>
      </c>
    </row>
    <row r="35" spans="1:22" s="223" customFormat="1" ht="18" customHeight="1">
      <c r="A35" s="228"/>
      <c r="B35" s="229"/>
      <c r="C35" s="230" t="s">
        <v>215</v>
      </c>
      <c r="D35" s="356"/>
      <c r="E35" s="356"/>
      <c r="F35" s="356"/>
      <c r="G35" s="356"/>
      <c r="H35" s="356"/>
      <c r="I35" s="356"/>
      <c r="J35" s="357" t="e">
        <f>100*J34/J$54</f>
        <v>#REF!</v>
      </c>
      <c r="K35" s="357">
        <v>1.5</v>
      </c>
      <c r="L35" s="357">
        <v>1.5</v>
      </c>
      <c r="M35" s="357">
        <v>1.5</v>
      </c>
      <c r="N35" s="357">
        <v>1.5</v>
      </c>
      <c r="O35" s="357">
        <v>1.5</v>
      </c>
    </row>
    <row r="36" spans="1:22" ht="18" customHeight="1">
      <c r="A36" s="224"/>
      <c r="B36" s="225"/>
      <c r="C36" s="226" t="s">
        <v>228</v>
      </c>
      <c r="D36" s="227">
        <v>4031</v>
      </c>
      <c r="E36" s="227">
        <v>1734.6</v>
      </c>
      <c r="F36" s="227">
        <v>2612</v>
      </c>
      <c r="G36" s="227">
        <v>3605</v>
      </c>
      <c r="H36" s="227">
        <v>5025</v>
      </c>
      <c r="I36" s="227">
        <v>5705</v>
      </c>
      <c r="J36" s="237" t="e">
        <f>+K36+L36+M36+N36+O36</f>
        <v>#REF!</v>
      </c>
      <c r="K36" s="237" t="e">
        <f>+K$54*K37/100</f>
        <v>#REF!</v>
      </c>
      <c r="L36" s="237" t="e">
        <f>+L$54*L37/100</f>
        <v>#REF!</v>
      </c>
      <c r="M36" s="237" t="e">
        <f>+M$54*M37/100</f>
        <v>#REF!</v>
      </c>
      <c r="N36" s="237" t="e">
        <f>+N$54*N37/100</f>
        <v>#REF!</v>
      </c>
      <c r="O36" s="237" t="e">
        <f>+O$54*O37/100</f>
        <v>#REF!</v>
      </c>
    </row>
    <row r="37" spans="1:22" s="223" customFormat="1" ht="18" customHeight="1">
      <c r="A37" s="228"/>
      <c r="B37" s="229"/>
      <c r="C37" s="230" t="s">
        <v>215</v>
      </c>
      <c r="D37" s="356"/>
      <c r="E37" s="356"/>
      <c r="F37" s="356"/>
      <c r="G37" s="356"/>
      <c r="H37" s="356"/>
      <c r="I37" s="356"/>
      <c r="J37" s="357" t="e">
        <f>100*J36/J$54</f>
        <v>#REF!</v>
      </c>
      <c r="K37" s="357">
        <v>4.5999999999999996</v>
      </c>
      <c r="L37" s="357">
        <v>4.5</v>
      </c>
      <c r="M37" s="357">
        <v>4.4000000000000004</v>
      </c>
      <c r="N37" s="357">
        <v>4.3</v>
      </c>
      <c r="O37" s="357">
        <v>4.2</v>
      </c>
    </row>
    <row r="38" spans="1:22" ht="36.75" customHeight="1">
      <c r="A38" s="224"/>
      <c r="B38" s="225"/>
      <c r="C38" s="226" t="s">
        <v>229</v>
      </c>
      <c r="D38" s="227">
        <v>1883</v>
      </c>
      <c r="E38" s="227">
        <v>1935.5</v>
      </c>
      <c r="F38" s="227">
        <v>695</v>
      </c>
      <c r="G38" s="227"/>
      <c r="H38" s="227">
        <v>1351</v>
      </c>
      <c r="I38" s="227">
        <v>1486</v>
      </c>
      <c r="J38" s="237" t="e">
        <f>+K38+L38+M38+N38+O38</f>
        <v>#REF!</v>
      </c>
      <c r="K38" s="237" t="e">
        <f>+K$54*K39/100</f>
        <v>#REF!</v>
      </c>
      <c r="L38" s="237" t="e">
        <f>+L$54*L39/100</f>
        <v>#REF!</v>
      </c>
      <c r="M38" s="237" t="e">
        <f>+M$54*M39/100</f>
        <v>#REF!</v>
      </c>
      <c r="N38" s="237" t="e">
        <f>+N$54*N39/100</f>
        <v>#REF!</v>
      </c>
      <c r="O38" s="237" t="e">
        <f>+O$54*O39/100</f>
        <v>#REF!</v>
      </c>
      <c r="R38" s="206">
        <f>1456+65373+11914</f>
        <v>78743</v>
      </c>
      <c r="S38" s="231" t="e">
        <f>+L40+L42+L50</f>
        <v>#REF!</v>
      </c>
    </row>
    <row r="39" spans="1:22" s="223" customFormat="1" ht="18" customHeight="1">
      <c r="A39" s="228"/>
      <c r="B39" s="232"/>
      <c r="C39" s="230" t="s">
        <v>215</v>
      </c>
      <c r="D39" s="361"/>
      <c r="E39" s="356"/>
      <c r="F39" s="356"/>
      <c r="G39" s="356"/>
      <c r="H39" s="356"/>
      <c r="I39" s="356"/>
      <c r="J39" s="357" t="e">
        <f>100*J38/J$54</f>
        <v>#REF!</v>
      </c>
      <c r="K39" s="357">
        <v>1.1000000000000001</v>
      </c>
      <c r="L39" s="357">
        <v>1.1000000000000001</v>
      </c>
      <c r="M39" s="362">
        <v>1.1000000000000001</v>
      </c>
      <c r="N39" s="357">
        <v>1.1000000000000001</v>
      </c>
      <c r="O39" s="357">
        <v>1.1000000000000001</v>
      </c>
      <c r="P39" s="221"/>
      <c r="Q39" s="222"/>
      <c r="S39" s="221"/>
      <c r="T39" s="222"/>
      <c r="V39" s="221"/>
    </row>
    <row r="40" spans="1:22" ht="18" customHeight="1">
      <c r="A40" s="224"/>
      <c r="B40" s="225"/>
      <c r="C40" s="226" t="s">
        <v>230</v>
      </c>
      <c r="D40" s="227">
        <v>3914</v>
      </c>
      <c r="E40" s="227">
        <v>3854</v>
      </c>
      <c r="F40" s="227">
        <v>3072</v>
      </c>
      <c r="G40" s="227">
        <v>4452</v>
      </c>
      <c r="H40" s="227">
        <v>8260</v>
      </c>
      <c r="I40" s="227">
        <v>9727</v>
      </c>
      <c r="J40" s="237" t="e">
        <f>+K40+L40+M40+N40+O40</f>
        <v>#REF!</v>
      </c>
      <c r="K40" s="237" t="e">
        <f>+K$54*K41/100</f>
        <v>#REF!</v>
      </c>
      <c r="L40" s="237" t="e">
        <f>+L$54*L41/100</f>
        <v>#REF!</v>
      </c>
      <c r="M40" s="237" t="e">
        <f>+M$54*M41/100</f>
        <v>#REF!</v>
      </c>
      <c r="N40" s="237" t="e">
        <f>+N$54*N41/100</f>
        <v>#REF!</v>
      </c>
      <c r="O40" s="237" t="e">
        <f>+O$54*O41/100</f>
        <v>#REF!</v>
      </c>
      <c r="S40" s="206" t="e">
        <f>+L40/S38</f>
        <v>#REF!</v>
      </c>
    </row>
    <row r="41" spans="1:22" s="223" customFormat="1" ht="18" customHeight="1">
      <c r="A41" s="228"/>
      <c r="B41" s="229"/>
      <c r="C41" s="230" t="s">
        <v>215</v>
      </c>
      <c r="D41" s="356"/>
      <c r="E41" s="356"/>
      <c r="F41" s="356"/>
      <c r="G41" s="356"/>
      <c r="H41" s="356"/>
      <c r="I41" s="356"/>
      <c r="J41" s="357" t="e">
        <f>100*J40/J$54</f>
        <v>#REF!</v>
      </c>
      <c r="K41" s="357">
        <v>3.4</v>
      </c>
      <c r="L41" s="357">
        <v>3.4</v>
      </c>
      <c r="M41" s="357">
        <v>3.4</v>
      </c>
      <c r="N41" s="357">
        <v>3.4</v>
      </c>
      <c r="O41" s="357">
        <v>3.4</v>
      </c>
    </row>
    <row r="42" spans="1:22" ht="55.5" hidden="1" customHeight="1">
      <c r="A42" s="224"/>
      <c r="B42" s="225"/>
      <c r="C42" s="226" t="s">
        <v>231</v>
      </c>
      <c r="D42" s="227">
        <v>793</v>
      </c>
      <c r="E42" s="227">
        <v>342</v>
      </c>
      <c r="F42" s="227">
        <v>818</v>
      </c>
      <c r="G42" s="227">
        <v>892</v>
      </c>
      <c r="H42" s="227">
        <v>1015</v>
      </c>
      <c r="I42" s="227">
        <v>1217</v>
      </c>
      <c r="J42" s="237"/>
      <c r="K42" s="237"/>
      <c r="L42" s="237"/>
      <c r="M42" s="237"/>
      <c r="N42" s="237"/>
      <c r="O42" s="237"/>
      <c r="S42" s="206" t="e">
        <f>+L42/S38</f>
        <v>#REF!</v>
      </c>
    </row>
    <row r="43" spans="1:22" s="223" customFormat="1" ht="18" hidden="1" customHeight="1">
      <c r="A43" s="228"/>
      <c r="B43" s="229"/>
      <c r="C43" s="230" t="s">
        <v>215</v>
      </c>
      <c r="D43" s="356"/>
      <c r="E43" s="356"/>
      <c r="F43" s="356"/>
      <c r="G43" s="356"/>
      <c r="H43" s="356"/>
      <c r="I43" s="356"/>
      <c r="J43" s="357"/>
      <c r="K43" s="357"/>
      <c r="L43" s="357"/>
      <c r="M43" s="357"/>
      <c r="N43" s="357"/>
      <c r="O43" s="357"/>
    </row>
    <row r="44" spans="1:22" ht="18" customHeight="1">
      <c r="A44" s="224"/>
      <c r="B44" s="225"/>
      <c r="C44" s="226" t="s">
        <v>232</v>
      </c>
      <c r="D44" s="227">
        <v>6084</v>
      </c>
      <c r="E44" s="227">
        <v>6225.3</v>
      </c>
      <c r="F44" s="227">
        <v>5882</v>
      </c>
      <c r="G44" s="227">
        <v>7118</v>
      </c>
      <c r="H44" s="227">
        <v>8614</v>
      </c>
      <c r="I44" s="227">
        <v>10097</v>
      </c>
      <c r="J44" s="237" t="e">
        <f>+K44+L44+M44+N44+O44</f>
        <v>#REF!</v>
      </c>
      <c r="K44" s="237" t="e">
        <f>+K$54*K45/100</f>
        <v>#REF!</v>
      </c>
      <c r="L44" s="237" t="e">
        <f>+L$54*L45/100</f>
        <v>#REF!</v>
      </c>
      <c r="M44" s="237" t="e">
        <f>+M$54*M45/100</f>
        <v>#REF!</v>
      </c>
      <c r="N44" s="237" t="e">
        <f>+N$54*N45/100</f>
        <v>#REF!</v>
      </c>
      <c r="O44" s="237" t="e">
        <f>+O$54*O45/100</f>
        <v>#REF!</v>
      </c>
      <c r="S44" s="206" t="e">
        <f>+L50/S38</f>
        <v>#REF!</v>
      </c>
    </row>
    <row r="45" spans="1:22" s="223" customFormat="1" ht="18" customHeight="1">
      <c r="A45" s="228"/>
      <c r="B45" s="229"/>
      <c r="C45" s="230" t="s">
        <v>215</v>
      </c>
      <c r="D45" s="356"/>
      <c r="E45" s="356"/>
      <c r="F45" s="356"/>
      <c r="G45" s="356"/>
      <c r="H45" s="356"/>
      <c r="I45" s="356"/>
      <c r="J45" s="357" t="e">
        <f>100*J44/J$54</f>
        <v>#REF!</v>
      </c>
      <c r="K45" s="357">
        <v>2.9</v>
      </c>
      <c r="L45" s="357">
        <v>3</v>
      </c>
      <c r="M45" s="357">
        <v>3.1</v>
      </c>
      <c r="N45" s="357">
        <v>3.2</v>
      </c>
      <c r="O45" s="357">
        <v>3.3</v>
      </c>
    </row>
    <row r="46" spans="1:22" ht="18" customHeight="1">
      <c r="A46" s="224"/>
      <c r="B46" s="225"/>
      <c r="C46" s="226" t="s">
        <v>233</v>
      </c>
      <c r="D46" s="227">
        <v>2323</v>
      </c>
      <c r="E46" s="227">
        <v>2770.1</v>
      </c>
      <c r="F46" s="227">
        <v>3207</v>
      </c>
      <c r="G46" s="227">
        <v>4370</v>
      </c>
      <c r="H46" s="227">
        <v>5665</v>
      </c>
      <c r="I46" s="227">
        <v>5775</v>
      </c>
      <c r="J46" s="237" t="e">
        <f>+K46+L46+M46+N46+O46</f>
        <v>#REF!</v>
      </c>
      <c r="K46" s="237" t="e">
        <f>+K$54*K47/100</f>
        <v>#REF!</v>
      </c>
      <c r="L46" s="237" t="e">
        <f>+L$54*L47/100</f>
        <v>#REF!</v>
      </c>
      <c r="M46" s="237" t="e">
        <f>+M$54*M47/100</f>
        <v>#REF!</v>
      </c>
      <c r="N46" s="237" t="e">
        <f>+N$54*N47/100</f>
        <v>#REF!</v>
      </c>
      <c r="O46" s="237" t="e">
        <f>+O$54*O47/100</f>
        <v>#REF!</v>
      </c>
    </row>
    <row r="47" spans="1:22" s="223" customFormat="1" ht="18" customHeight="1">
      <c r="A47" s="228"/>
      <c r="B47" s="229"/>
      <c r="C47" s="230" t="s">
        <v>215</v>
      </c>
      <c r="D47" s="356"/>
      <c r="E47" s="356"/>
      <c r="F47" s="356"/>
      <c r="G47" s="356"/>
      <c r="H47" s="356"/>
      <c r="I47" s="356"/>
      <c r="J47" s="357" t="e">
        <f>100*J46/J$54</f>
        <v>#REF!</v>
      </c>
      <c r="K47" s="357">
        <v>1.5</v>
      </c>
      <c r="L47" s="357">
        <v>1.6</v>
      </c>
      <c r="M47" s="357">
        <v>1.7</v>
      </c>
      <c r="N47" s="357">
        <v>1.8</v>
      </c>
      <c r="O47" s="357">
        <v>1.9</v>
      </c>
    </row>
    <row r="48" spans="1:22" ht="18" hidden="1" customHeight="1">
      <c r="A48" s="224"/>
      <c r="B48" s="225"/>
      <c r="C48" s="226" t="s">
        <v>234</v>
      </c>
      <c r="D48" s="227">
        <v>2812</v>
      </c>
      <c r="E48" s="227">
        <v>2228.4</v>
      </c>
      <c r="F48" s="227">
        <v>3029</v>
      </c>
      <c r="G48" s="227">
        <v>4288</v>
      </c>
      <c r="H48" s="227">
        <v>4583</v>
      </c>
      <c r="I48" s="227">
        <v>4893</v>
      </c>
      <c r="J48" s="237"/>
      <c r="K48" s="237"/>
      <c r="L48" s="237"/>
      <c r="M48" s="237"/>
      <c r="N48" s="237"/>
      <c r="O48" s="237"/>
    </row>
    <row r="49" spans="1:15" s="223" customFormat="1" ht="18" hidden="1" customHeight="1">
      <c r="A49" s="228"/>
      <c r="B49" s="236"/>
      <c r="C49" s="230" t="s">
        <v>215</v>
      </c>
      <c r="D49" s="356"/>
      <c r="E49" s="356"/>
      <c r="F49" s="356"/>
      <c r="G49" s="356"/>
      <c r="H49" s="356"/>
      <c r="I49" s="356"/>
      <c r="J49" s="357"/>
      <c r="K49" s="357"/>
      <c r="L49" s="357"/>
      <c r="M49" s="357"/>
      <c r="N49" s="357"/>
      <c r="O49" s="357"/>
    </row>
    <row r="50" spans="1:15" ht="18" customHeight="1">
      <c r="A50" s="225"/>
      <c r="B50" s="229"/>
      <c r="C50" s="226" t="s">
        <v>235</v>
      </c>
      <c r="D50" s="227">
        <v>20400</v>
      </c>
      <c r="E50" s="227">
        <v>23070.9</v>
      </c>
      <c r="F50" s="227">
        <v>29230</v>
      </c>
      <c r="G50" s="227">
        <v>35151</v>
      </c>
      <c r="H50" s="227">
        <v>46690</v>
      </c>
      <c r="I50" s="227">
        <v>56969</v>
      </c>
      <c r="J50" s="237" t="e">
        <f>+K50+L50+M50+N50+O50</f>
        <v>#REF!</v>
      </c>
      <c r="K50" s="237" t="e">
        <f>+K54-K8-K13-K15-K17-K19-K21-K26-K28-K30-K32-K34-K36-K38-K40-K42-K44-K46-K48</f>
        <v>#REF!</v>
      </c>
      <c r="L50" s="237" t="e">
        <f>+L54-L8-L13-L15-L17-L19-L21-L26-L28-L30-L32-L34-L36-L38-L40-L42-L44-L46-L48</f>
        <v>#REF!</v>
      </c>
      <c r="M50" s="237" t="e">
        <f>+M54-M8-M13-M15-M17-M19-M21-M26-M28-M30-M32-M34-M36-M38-M40-M42-M44-M46-M48</f>
        <v>#REF!</v>
      </c>
      <c r="N50" s="237" t="e">
        <f>+N54-N8-N13-N15-N17-N19-N21-N26-N28-N30-N32-N34-N36-N38-N40-N42-N44-N46-N48</f>
        <v>#REF!</v>
      </c>
      <c r="O50" s="237" t="e">
        <f>+O54-O8-O13-O15-O17-O19-O21-O26-O28-O30-O32-O34-O36-O38-O40-O42-O44-O46-O48</f>
        <v>#REF!</v>
      </c>
    </row>
    <row r="51" spans="1:15" s="223" customFormat="1" ht="18" customHeight="1">
      <c r="A51" s="229"/>
      <c r="B51" s="229"/>
      <c r="C51" s="230" t="s">
        <v>215</v>
      </c>
      <c r="D51" s="356"/>
      <c r="E51" s="356"/>
      <c r="F51" s="356"/>
      <c r="G51" s="356"/>
      <c r="H51" s="356"/>
      <c r="I51" s="356"/>
      <c r="J51" s="357" t="e">
        <f t="shared" ref="J51:O51" si="3">100*J50/J$54</f>
        <v>#REF!</v>
      </c>
      <c r="K51" s="357" t="e">
        <f t="shared" si="3"/>
        <v>#REF!</v>
      </c>
      <c r="L51" s="357" t="e">
        <f t="shared" si="3"/>
        <v>#REF!</v>
      </c>
      <c r="M51" s="357" t="e">
        <f t="shared" si="3"/>
        <v>#REF!</v>
      </c>
      <c r="N51" s="357" t="e">
        <f t="shared" si="3"/>
        <v>#REF!</v>
      </c>
      <c r="O51" s="357" t="e">
        <f t="shared" si="3"/>
        <v>#REF!</v>
      </c>
    </row>
    <row r="52" spans="1:15" ht="15" customHeight="1">
      <c r="A52" s="238"/>
      <c r="B52" s="239"/>
      <c r="C52" s="240"/>
      <c r="D52" s="241"/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2"/>
    </row>
    <row r="53" spans="1:15" ht="15" customHeight="1">
      <c r="C53" s="243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</row>
    <row r="54" spans="1:15" ht="30" customHeight="1">
      <c r="A54" s="216"/>
      <c r="B54" s="630" t="s">
        <v>172</v>
      </c>
      <c r="C54" s="631"/>
      <c r="D54" s="345">
        <v>151183</v>
      </c>
      <c r="E54" s="345">
        <v>170496</v>
      </c>
      <c r="F54" s="345">
        <v>200145</v>
      </c>
      <c r="G54" s="345">
        <v>239246</v>
      </c>
      <c r="H54" s="345">
        <v>290927</v>
      </c>
      <c r="I54" s="345">
        <v>343135</v>
      </c>
      <c r="J54" s="343" t="e">
        <f>+K54+L54+M54+N54+O54</f>
        <v>#REF!</v>
      </c>
      <c r="K54" s="343" t="e">
        <f>#REF!*1000</f>
        <v>#REF!</v>
      </c>
      <c r="L54" s="343" t="e">
        <f>#REF!*1000</f>
        <v>#REF!</v>
      </c>
      <c r="M54" s="343" t="e">
        <f>#REF!*1000</f>
        <v>#REF!</v>
      </c>
      <c r="N54" s="343" t="e">
        <f>#REF!*1000</f>
        <v>#REF!</v>
      </c>
      <c r="O54" s="343" t="e">
        <f>#REF!*1000</f>
        <v>#REF!</v>
      </c>
    </row>
  </sheetData>
  <mergeCells count="16">
    <mergeCell ref="A1:O1"/>
    <mergeCell ref="A2:O2"/>
    <mergeCell ref="A3:O3"/>
    <mergeCell ref="M4:O4"/>
    <mergeCell ref="B11:C11"/>
    <mergeCell ref="B5:C5"/>
    <mergeCell ref="B54:C54"/>
    <mergeCell ref="B6:C6"/>
    <mergeCell ref="B23:C23"/>
    <mergeCell ref="B24:C24"/>
    <mergeCell ref="B25:C25"/>
    <mergeCell ref="B7:C7"/>
    <mergeCell ref="B8:C8"/>
    <mergeCell ref="B9:C9"/>
    <mergeCell ref="B10:C10"/>
    <mergeCell ref="B12:C12"/>
  </mergeCells>
  <phoneticPr fontId="68" type="noConversion"/>
  <printOptions horizontalCentered="1"/>
  <pageMargins left="0.70866141732283472" right="0.70866141732283472" top="0.59055118110236227" bottom="0.59055118110236227" header="0.31496062992125984" footer="0.31496062992125984"/>
  <pageSetup paperSize="9" scale="95" fitToHeight="0" orientation="landscape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V65"/>
  <sheetViews>
    <sheetView workbookViewId="0">
      <pane xSplit="2" ySplit="20" topLeftCell="C21" activePane="bottomRight" state="frozen"/>
      <selection activeCell="C40" sqref="C40"/>
      <selection pane="topRight" activeCell="C40" sqref="C40"/>
      <selection pane="bottomLeft" activeCell="C40" sqref="C40"/>
      <selection pane="bottomRight" activeCell="C40" sqref="C40"/>
    </sheetView>
  </sheetViews>
  <sheetFormatPr defaultRowHeight="15.75"/>
  <cols>
    <col min="1" max="1" width="4.42578125" style="335" customWidth="1"/>
    <col min="2" max="2" width="36.5703125" style="252" customWidth="1"/>
    <col min="3" max="3" width="14.85546875" style="251" customWidth="1"/>
    <col min="4" max="4" width="14.85546875" style="252" customWidth="1"/>
    <col min="5" max="7" width="14.85546875" style="253" customWidth="1"/>
    <col min="8" max="8" width="14.85546875" style="336" customWidth="1"/>
    <col min="9" max="9" width="13.85546875" style="254" hidden="1" customWidth="1"/>
    <col min="10" max="10" width="12.140625" style="254" customWidth="1"/>
    <col min="11" max="12" width="9.140625" style="245"/>
    <col min="13" max="13" width="10.140625" style="245" bestFit="1" customWidth="1"/>
    <col min="14" max="16384" width="9.140625" style="245"/>
  </cols>
  <sheetData>
    <row r="1" spans="1:22" s="206" customFormat="1" ht="30.75" customHeight="1">
      <c r="A1" s="643" t="s">
        <v>277</v>
      </c>
      <c r="B1" s="643"/>
      <c r="C1" s="643"/>
      <c r="D1" s="643"/>
      <c r="E1" s="643"/>
      <c r="F1" s="643"/>
      <c r="G1" s="643"/>
      <c r="H1" s="643"/>
      <c r="I1" s="205"/>
      <c r="J1" s="205"/>
      <c r="K1" s="205"/>
      <c r="L1" s="205"/>
      <c r="M1" s="205"/>
      <c r="N1" s="205"/>
    </row>
    <row r="2" spans="1:22" ht="45" customHeight="1">
      <c r="A2" s="649" t="s">
        <v>283</v>
      </c>
      <c r="B2" s="650"/>
      <c r="C2" s="650"/>
      <c r="D2" s="650"/>
      <c r="E2" s="650"/>
      <c r="F2" s="650"/>
      <c r="G2" s="650"/>
      <c r="H2" s="650"/>
      <c r="I2" s="650"/>
      <c r="J2" s="244"/>
    </row>
    <row r="3" spans="1:22" ht="12.75" customHeight="1">
      <c r="A3" s="246"/>
      <c r="B3" s="244"/>
      <c r="C3" s="247"/>
      <c r="D3" s="244"/>
      <c r="E3" s="244"/>
      <c r="F3" s="244"/>
      <c r="G3" s="244"/>
      <c r="H3" s="244"/>
      <c r="I3" s="248"/>
      <c r="J3" s="248"/>
    </row>
    <row r="4" spans="1:22" ht="27.75" customHeight="1">
      <c r="A4" s="249"/>
      <c r="B4" s="250"/>
      <c r="F4" s="651" t="s">
        <v>282</v>
      </c>
      <c r="G4" s="651"/>
      <c r="H4" s="651"/>
      <c r="I4" s="652"/>
    </row>
    <row r="5" spans="1:22" s="262" customFormat="1" ht="39.75" customHeight="1">
      <c r="A5" s="255"/>
      <c r="B5" s="256" t="s">
        <v>275</v>
      </c>
      <c r="C5" s="257" t="s">
        <v>274</v>
      </c>
      <c r="D5" s="258">
        <v>2011</v>
      </c>
      <c r="E5" s="259">
        <v>2012</v>
      </c>
      <c r="F5" s="259">
        <v>2013</v>
      </c>
      <c r="G5" s="259">
        <v>2014</v>
      </c>
      <c r="H5" s="259">
        <v>2015</v>
      </c>
      <c r="I5" s="260">
        <v>2011</v>
      </c>
      <c r="J5" s="261"/>
    </row>
    <row r="6" spans="1:22" s="270" customFormat="1" ht="52.5" hidden="1" customHeight="1">
      <c r="A6" s="263"/>
      <c r="B6" s="264" t="s">
        <v>213</v>
      </c>
      <c r="C6" s="265"/>
      <c r="D6" s="266"/>
      <c r="E6" s="266"/>
      <c r="F6" s="266"/>
      <c r="G6" s="266"/>
      <c r="H6" s="267"/>
      <c r="I6" s="268">
        <f>[2]cc2011!H5</f>
        <v>152000.05204045697</v>
      </c>
      <c r="J6" s="269"/>
      <c r="L6" s="271"/>
    </row>
    <row r="7" spans="1:22" s="281" customFormat="1" ht="46.5" hidden="1" customHeight="1">
      <c r="A7" s="272" t="s">
        <v>3</v>
      </c>
      <c r="B7" s="273" t="s">
        <v>272</v>
      </c>
      <c r="C7" s="274"/>
      <c r="D7" s="275"/>
      <c r="E7" s="276"/>
      <c r="F7" s="276"/>
      <c r="G7" s="276"/>
      <c r="H7" s="277"/>
      <c r="I7" s="278">
        <f>[2]cc2011!H6</f>
        <v>10080</v>
      </c>
      <c r="J7" s="279"/>
      <c r="K7" s="280"/>
      <c r="M7" s="282"/>
      <c r="N7" s="280"/>
      <c r="P7" s="282"/>
      <c r="Q7" s="280"/>
      <c r="S7" s="282"/>
      <c r="T7" s="280"/>
      <c r="V7" s="282"/>
    </row>
    <row r="8" spans="1:22" ht="47.25" hidden="1">
      <c r="A8" s="283"/>
      <c r="B8" s="284" t="s">
        <v>271</v>
      </c>
      <c r="C8" s="285"/>
      <c r="D8" s="286">
        <f>+[2]cc2006!C7+[2]cc2006!C8</f>
        <v>120</v>
      </c>
      <c r="E8" s="287">
        <f>+[2]cc2007!C8</f>
        <v>220</v>
      </c>
      <c r="F8" s="287">
        <f>+[2]cc2008!C8</f>
        <v>200</v>
      </c>
      <c r="G8" s="288">
        <f>+[2]cc2009!C8</f>
        <v>200</v>
      </c>
      <c r="H8" s="288">
        <f>+[2]cc2010!H8</f>
        <v>200</v>
      </c>
      <c r="I8" s="289">
        <f>[2]cc2011!H7</f>
        <v>180</v>
      </c>
      <c r="J8" s="290"/>
      <c r="K8" s="291"/>
      <c r="M8" s="292"/>
      <c r="N8" s="291"/>
      <c r="P8" s="292"/>
      <c r="Q8" s="291"/>
      <c r="S8" s="292"/>
      <c r="T8" s="291"/>
      <c r="V8" s="292"/>
    </row>
    <row r="9" spans="1:22" ht="47.25" hidden="1">
      <c r="A9" s="283"/>
      <c r="B9" s="284" t="s">
        <v>270</v>
      </c>
      <c r="C9" s="285"/>
      <c r="D9" s="286">
        <f>+[2]cc2006!C9</f>
        <v>300</v>
      </c>
      <c r="E9" s="287">
        <f>+[2]cc2007!C9</f>
        <v>200</v>
      </c>
      <c r="F9" s="287">
        <f>+[2]cc2008!C9</f>
        <v>200</v>
      </c>
      <c r="G9" s="288">
        <f>+[2]cc2009!C9</f>
        <v>200</v>
      </c>
      <c r="H9" s="288">
        <f>+[2]cc2010!H9</f>
        <v>200</v>
      </c>
      <c r="I9" s="289">
        <f>[2]cc2011!H8</f>
        <v>200</v>
      </c>
      <c r="J9" s="290"/>
      <c r="K9" s="291"/>
      <c r="M9" s="292"/>
      <c r="N9" s="291"/>
      <c r="P9" s="292"/>
      <c r="Q9" s="291"/>
      <c r="S9" s="292"/>
      <c r="T9" s="291"/>
      <c r="V9" s="292"/>
    </row>
    <row r="10" spans="1:22" ht="31.5" hidden="1">
      <c r="A10" s="283"/>
      <c r="B10" s="284" t="s">
        <v>269</v>
      </c>
      <c r="C10" s="285"/>
      <c r="D10" s="286">
        <f>+[2]cc2006!C10</f>
        <v>2000</v>
      </c>
      <c r="E10" s="287">
        <f>+[2]cc2007!C10</f>
        <v>2500</v>
      </c>
      <c r="F10" s="287">
        <f>+[2]cc2008!C10</f>
        <v>2300</v>
      </c>
      <c r="G10" s="288">
        <f>+[2]cc2009!C10</f>
        <v>3700</v>
      </c>
      <c r="H10" s="288">
        <f>+[2]cc2010!H10</f>
        <v>3700</v>
      </c>
      <c r="I10" s="289">
        <f>[2]cc2011!H9</f>
        <v>4500</v>
      </c>
      <c r="J10" s="290"/>
      <c r="K10" s="291"/>
      <c r="M10" s="292"/>
      <c r="N10" s="291"/>
      <c r="P10" s="292"/>
      <c r="Q10" s="291"/>
      <c r="S10" s="292"/>
      <c r="T10" s="291"/>
      <c r="V10" s="292"/>
    </row>
    <row r="11" spans="1:22" hidden="1">
      <c r="A11" s="283"/>
      <c r="B11" s="293" t="s">
        <v>268</v>
      </c>
      <c r="C11" s="285"/>
      <c r="D11" s="287"/>
      <c r="E11" s="287"/>
      <c r="F11" s="287">
        <f>+[2]cc2008!C11</f>
        <v>120</v>
      </c>
      <c r="G11" s="288"/>
      <c r="H11" s="288"/>
      <c r="I11" s="289"/>
      <c r="J11" s="290"/>
    </row>
    <row r="12" spans="1:22" ht="31.5" hidden="1">
      <c r="A12" s="283"/>
      <c r="B12" s="294" t="s">
        <v>267</v>
      </c>
      <c r="C12" s="295"/>
      <c r="D12" s="287"/>
      <c r="E12" s="287"/>
      <c r="F12" s="287"/>
      <c r="G12" s="288">
        <f>+[2]cc2009!C11</f>
        <v>4900</v>
      </c>
      <c r="H12" s="288">
        <f>+[2]cc2010!H11</f>
        <v>3500</v>
      </c>
      <c r="I12" s="289">
        <f>[2]cc2011!H10</f>
        <v>3500</v>
      </c>
      <c r="J12" s="290"/>
    </row>
    <row r="13" spans="1:22" ht="78.75" hidden="1">
      <c r="A13" s="283"/>
      <c r="B13" s="294" t="s">
        <v>266</v>
      </c>
      <c r="C13" s="295"/>
      <c r="D13" s="287">
        <f>+[2]cc2006!C11</f>
        <v>150</v>
      </c>
      <c r="E13" s="287">
        <f>+[2]cc2007!C11</f>
        <v>0</v>
      </c>
      <c r="F13" s="287"/>
      <c r="G13" s="288">
        <f>+[2]cc2009!C12</f>
        <v>160</v>
      </c>
      <c r="H13" s="288">
        <f>+[2]cc2010!H12</f>
        <v>300</v>
      </c>
      <c r="I13" s="289">
        <f>[2]cc2011!H11</f>
        <v>820</v>
      </c>
      <c r="J13" s="290"/>
    </row>
    <row r="14" spans="1:22" hidden="1">
      <c r="A14" s="283"/>
      <c r="B14" s="296" t="s">
        <v>265</v>
      </c>
      <c r="C14" s="297"/>
      <c r="D14" s="287"/>
      <c r="E14" s="287">
        <f>+[2]cc2007!C13</f>
        <v>100</v>
      </c>
      <c r="F14" s="287"/>
      <c r="G14" s="288"/>
      <c r="H14" s="288"/>
      <c r="I14" s="289"/>
      <c r="J14" s="290"/>
    </row>
    <row r="15" spans="1:22" hidden="1">
      <c r="A15" s="283"/>
      <c r="B15" s="293" t="s">
        <v>264</v>
      </c>
      <c r="C15" s="285"/>
      <c r="D15" s="287"/>
      <c r="E15" s="287">
        <f>+[2]cc2007!C12</f>
        <v>1000</v>
      </c>
      <c r="F15" s="287">
        <f>+[2]cc2008!C12</f>
        <v>600</v>
      </c>
      <c r="G15" s="288">
        <f>+[2]cc2009!C13</f>
        <v>800</v>
      </c>
      <c r="H15" s="288">
        <f>+[2]cc2010!H13</f>
        <v>800</v>
      </c>
      <c r="I15" s="289">
        <f>[2]cc2011!H12</f>
        <v>880</v>
      </c>
      <c r="J15" s="290"/>
    </row>
    <row r="16" spans="1:22" s="281" customFormat="1" ht="45.75" customHeight="1">
      <c r="A16" s="272"/>
      <c r="B16" s="298" t="s">
        <v>213</v>
      </c>
      <c r="C16" s="274" t="e">
        <f>+D16+E16+F16+G16+H16</f>
        <v>#REF!</v>
      </c>
      <c r="D16" s="276" t="e">
        <f>+D21+D33+D53+D55</f>
        <v>#REF!</v>
      </c>
      <c r="E16" s="276" t="e">
        <f>+E21+E33+E53+E55</f>
        <v>#REF!</v>
      </c>
      <c r="F16" s="276" t="e">
        <f>+F21+F33+F53+F55</f>
        <v>#REF!</v>
      </c>
      <c r="G16" s="276" t="e">
        <f>+G21+G33+G53+G55</f>
        <v>#REF!</v>
      </c>
      <c r="H16" s="276" t="e">
        <f>+H21+H33+H53+H55</f>
        <v>#REF!</v>
      </c>
      <c r="I16" s="276">
        <f>'[2]cc2006-2010'!I14</f>
        <v>880</v>
      </c>
      <c r="J16" s="269"/>
    </row>
    <row r="17" spans="1:22" s="281" customFormat="1" ht="45.75" hidden="1" customHeight="1">
      <c r="A17" s="272"/>
      <c r="B17" s="298" t="s">
        <v>213</v>
      </c>
      <c r="C17" s="274">
        <f>+D17+E17+F17+G17+H17</f>
        <v>1287000</v>
      </c>
      <c r="D17" s="276">
        <v>167000</v>
      </c>
      <c r="E17" s="276">
        <v>210000</v>
      </c>
      <c r="F17" s="276">
        <v>260000</v>
      </c>
      <c r="G17" s="276">
        <v>300000</v>
      </c>
      <c r="H17" s="276">
        <v>350000</v>
      </c>
      <c r="I17" s="276">
        <f>'[2]cc2006-2010'!I15</f>
        <v>141425.55204045697</v>
      </c>
      <c r="J17" s="279"/>
    </row>
    <row r="18" spans="1:22" s="281" customFormat="1" ht="30.75" hidden="1" customHeight="1">
      <c r="A18" s="272"/>
      <c r="B18" s="298"/>
      <c r="C18" s="274"/>
      <c r="D18" s="274">
        <v>170000</v>
      </c>
      <c r="E18" s="274">
        <v>210000</v>
      </c>
      <c r="F18" s="274">
        <v>260000</v>
      </c>
      <c r="G18" s="274">
        <v>300000</v>
      </c>
      <c r="H18" s="274">
        <v>350000</v>
      </c>
      <c r="I18" s="274">
        <f>+I21+I33+I53+I55</f>
        <v>141425.55204045697</v>
      </c>
      <c r="J18" s="279"/>
    </row>
    <row r="19" spans="1:22" s="281" customFormat="1" ht="36" hidden="1" customHeight="1">
      <c r="A19" s="272"/>
      <c r="B19" s="298"/>
      <c r="C19" s="274"/>
      <c r="D19" s="274">
        <v>45000</v>
      </c>
      <c r="E19" s="274">
        <v>45000</v>
      </c>
      <c r="F19" s="274">
        <v>45000</v>
      </c>
      <c r="G19" s="274">
        <v>45000</v>
      </c>
      <c r="H19" s="274">
        <v>45000</v>
      </c>
      <c r="I19" s="274"/>
      <c r="J19" s="279"/>
    </row>
    <row r="20" spans="1:22" s="281" customFormat="1" ht="45.75" hidden="1" customHeight="1">
      <c r="A20" s="272"/>
      <c r="B20" s="298"/>
      <c r="C20" s="299" t="e">
        <f t="shared" ref="C20:H20" si="0">+C24+C26+C28+C30+C32+C36+C38+C40+C42+C44+C46+C48+C50+C52+C54+C56</f>
        <v>#REF!</v>
      </c>
      <c r="D20" s="299">
        <f t="shared" si="0"/>
        <v>100</v>
      </c>
      <c r="E20" s="299">
        <f t="shared" si="0"/>
        <v>100</v>
      </c>
      <c r="F20" s="299">
        <f t="shared" si="0"/>
        <v>100</v>
      </c>
      <c r="G20" s="299">
        <f t="shared" si="0"/>
        <v>100.00000000000001</v>
      </c>
      <c r="H20" s="299">
        <f t="shared" si="0"/>
        <v>100.00000000000001</v>
      </c>
      <c r="I20" s="274"/>
      <c r="J20" s="279"/>
    </row>
    <row r="21" spans="1:22" s="270" customFormat="1" ht="40.5" customHeight="1">
      <c r="A21" s="272" t="s">
        <v>99</v>
      </c>
      <c r="B21" s="298" t="s">
        <v>263</v>
      </c>
      <c r="C21" s="300" t="e">
        <f>+D21+E21+F21+G21+H21</f>
        <v>#REF!</v>
      </c>
      <c r="D21" s="300" t="e">
        <f t="shared" ref="D21:I21" si="1">+D23+D25+D27+D29+D31</f>
        <v>#REF!</v>
      </c>
      <c r="E21" s="300" t="e">
        <f t="shared" si="1"/>
        <v>#REF!</v>
      </c>
      <c r="F21" s="300" t="e">
        <f t="shared" si="1"/>
        <v>#REF!</v>
      </c>
      <c r="G21" s="300" t="e">
        <f t="shared" si="1"/>
        <v>#REF!</v>
      </c>
      <c r="H21" s="300" t="e">
        <f t="shared" si="1"/>
        <v>#REF!</v>
      </c>
      <c r="I21" s="274">
        <f t="shared" si="1"/>
        <v>66858.44406704056</v>
      </c>
      <c r="J21" s="279"/>
    </row>
    <row r="22" spans="1:22" s="307" customFormat="1" ht="28.5" customHeight="1">
      <c r="A22" s="301"/>
      <c r="B22" s="302" t="s">
        <v>215</v>
      </c>
      <c r="C22" s="303" t="e">
        <f t="shared" ref="C22:H22" si="2">100*C21/C$63</f>
        <v>#REF!</v>
      </c>
      <c r="D22" s="304" t="e">
        <f t="shared" si="2"/>
        <v>#REF!</v>
      </c>
      <c r="E22" s="303" t="e">
        <f t="shared" si="2"/>
        <v>#REF!</v>
      </c>
      <c r="F22" s="303" t="e">
        <f t="shared" si="2"/>
        <v>#REF!</v>
      </c>
      <c r="G22" s="303" t="e">
        <f t="shared" si="2"/>
        <v>#REF!</v>
      </c>
      <c r="H22" s="303" t="e">
        <f t="shared" si="2"/>
        <v>#REF!</v>
      </c>
      <c r="I22" s="303"/>
      <c r="J22" s="305"/>
      <c r="K22" s="306"/>
      <c r="M22" s="308"/>
      <c r="N22" s="306"/>
      <c r="P22" s="308"/>
      <c r="Q22" s="306"/>
      <c r="S22" s="308"/>
      <c r="T22" s="306"/>
      <c r="V22" s="308"/>
    </row>
    <row r="23" spans="1:22" ht="40.5" customHeight="1">
      <c r="A23" s="283">
        <v>1</v>
      </c>
      <c r="B23" s="293" t="s">
        <v>262</v>
      </c>
      <c r="C23" s="309" t="e">
        <f>+D23+E23+F23+G23+H23</f>
        <v>#REF!</v>
      </c>
      <c r="D23" s="310" t="e">
        <f>+D24*D$63/100</f>
        <v>#REF!</v>
      </c>
      <c r="E23" s="309" t="e">
        <f>+E24*E$63/100</f>
        <v>#REF!</v>
      </c>
      <c r="F23" s="309" t="e">
        <f>+F24*F$63/100</f>
        <v>#REF!</v>
      </c>
      <c r="G23" s="309" t="e">
        <f>+G24*G$63/100</f>
        <v>#REF!</v>
      </c>
      <c r="H23" s="309" t="e">
        <f>+H24*H$63/100</f>
        <v>#REF!</v>
      </c>
      <c r="I23" s="287">
        <f>+I24*I$17/100</f>
        <v>2137</v>
      </c>
      <c r="J23" s="311"/>
      <c r="K23" s="291"/>
      <c r="M23" s="292"/>
      <c r="N23" s="291"/>
      <c r="P23" s="292"/>
      <c r="Q23" s="291"/>
      <c r="S23" s="292"/>
      <c r="T23" s="291"/>
    </row>
    <row r="24" spans="1:22" s="307" customFormat="1" ht="23.1" customHeight="1">
      <c r="A24" s="301"/>
      <c r="B24" s="302" t="s">
        <v>215</v>
      </c>
      <c r="C24" s="303" t="e">
        <f>100*C23/C$63</f>
        <v>#REF!</v>
      </c>
      <c r="D24" s="304">
        <v>4.3</v>
      </c>
      <c r="E24" s="303">
        <v>4.2</v>
      </c>
      <c r="F24" s="303">
        <v>4.0999999999999996</v>
      </c>
      <c r="G24" s="303">
        <v>4</v>
      </c>
      <c r="H24" s="303">
        <v>3.9</v>
      </c>
      <c r="I24" s="312">
        <f>'[2]cc2006-2010'!I32</f>
        <v>1.5110423605690986</v>
      </c>
      <c r="J24" s="305"/>
      <c r="K24" s="306"/>
      <c r="M24" s="308"/>
      <c r="N24" s="306"/>
      <c r="P24" s="308"/>
      <c r="Q24" s="306"/>
      <c r="S24" s="308"/>
      <c r="T24" s="306"/>
      <c r="V24" s="308"/>
    </row>
    <row r="25" spans="1:22" ht="40.5" customHeight="1">
      <c r="A25" s="283">
        <f>+A23+1</f>
        <v>2</v>
      </c>
      <c r="B25" s="293" t="s">
        <v>261</v>
      </c>
      <c r="C25" s="309" t="e">
        <f>+D25+E25+F25+G25+H25</f>
        <v>#REF!</v>
      </c>
      <c r="D25" s="309" t="e">
        <f>+D26*D$63/100</f>
        <v>#REF!</v>
      </c>
      <c r="E25" s="309" t="e">
        <f>+E26*E$63/100</f>
        <v>#REF!</v>
      </c>
      <c r="F25" s="309" t="e">
        <f>+F26*F$63/100</f>
        <v>#REF!</v>
      </c>
      <c r="G25" s="309" t="e">
        <f>+G26*G$63/100</f>
        <v>#REF!</v>
      </c>
      <c r="H25" s="309" t="e">
        <f>+H26*H$63/100</f>
        <v>#REF!</v>
      </c>
      <c r="I25" s="287">
        <f>+I26*I$17/100</f>
        <v>29715.154369373311</v>
      </c>
      <c r="J25" s="290"/>
      <c r="K25" s="291"/>
      <c r="M25" s="292"/>
      <c r="N25" s="291"/>
      <c r="P25" s="292"/>
      <c r="Q25" s="291"/>
      <c r="S25" s="292"/>
      <c r="T25" s="291"/>
    </row>
    <row r="26" spans="1:22" s="307" customFormat="1" ht="23.1" customHeight="1">
      <c r="A26" s="301"/>
      <c r="B26" s="302" t="s">
        <v>215</v>
      </c>
      <c r="C26" s="303" t="e">
        <f>100*C25/C$63</f>
        <v>#REF!</v>
      </c>
      <c r="D26" s="304">
        <v>21.5</v>
      </c>
      <c r="E26" s="303">
        <v>21.6</v>
      </c>
      <c r="F26" s="303">
        <v>21.7</v>
      </c>
      <c r="G26" s="303">
        <v>21.8</v>
      </c>
      <c r="H26" s="303">
        <v>21.8</v>
      </c>
      <c r="I26" s="312">
        <f>'[2]cc2006-2010'!I69</f>
        <v>21.011163782392615</v>
      </c>
      <c r="J26" s="313"/>
      <c r="K26" s="306"/>
      <c r="M26" s="308"/>
      <c r="N26" s="306"/>
      <c r="P26" s="308"/>
      <c r="Q26" s="306"/>
      <c r="S26" s="308"/>
      <c r="T26" s="306"/>
      <c r="V26" s="308"/>
    </row>
    <row r="27" spans="1:22" ht="40.5" customHeight="1">
      <c r="A27" s="283">
        <f>+A25+1</f>
        <v>3</v>
      </c>
      <c r="B27" s="293" t="s">
        <v>260</v>
      </c>
      <c r="C27" s="309" t="e">
        <f>+D27+E27+F27+G27+H27</f>
        <v>#REF!</v>
      </c>
      <c r="D27" s="309" t="e">
        <f>+D28*D$63/100</f>
        <v>#REF!</v>
      </c>
      <c r="E27" s="309" t="e">
        <f>+E28*E$63/100</f>
        <v>#REF!</v>
      </c>
      <c r="F27" s="309" t="e">
        <f>+F28*F$63/100</f>
        <v>#REF!</v>
      </c>
      <c r="G27" s="309" t="e">
        <f>+G28*G$63/100</f>
        <v>#REF!</v>
      </c>
      <c r="H27" s="309" t="e">
        <f>+H28*H$63/100</f>
        <v>#REF!</v>
      </c>
      <c r="I27" s="287">
        <f>+I28*I$17/100</f>
        <v>32348.157614015763</v>
      </c>
      <c r="J27" s="290"/>
    </row>
    <row r="28" spans="1:22" s="307" customFormat="1" ht="23.1" customHeight="1">
      <c r="A28" s="301"/>
      <c r="B28" s="314" t="s">
        <v>215</v>
      </c>
      <c r="C28" s="303" t="e">
        <f>100*C27/C$63</f>
        <v>#REF!</v>
      </c>
      <c r="D28" s="303">
        <v>28.3</v>
      </c>
      <c r="E28" s="303">
        <v>28.5</v>
      </c>
      <c r="F28" s="303">
        <v>28.7</v>
      </c>
      <c r="G28" s="303">
        <v>28.9</v>
      </c>
      <c r="H28" s="303">
        <v>30</v>
      </c>
      <c r="I28" s="312">
        <f>'[2]cc2006-2010'!I101</f>
        <v>22.872922995387761</v>
      </c>
      <c r="J28" s="313"/>
    </row>
    <row r="29" spans="1:22" ht="39.75" customHeight="1">
      <c r="A29" s="283">
        <f>+A27+1</f>
        <v>4</v>
      </c>
      <c r="B29" s="293" t="s">
        <v>226</v>
      </c>
      <c r="C29" s="309" t="e">
        <f>+D29+E29+F29+G29+H29</f>
        <v>#REF!</v>
      </c>
      <c r="D29" s="309" t="e">
        <f>+D30*D$63/100</f>
        <v>#REF!</v>
      </c>
      <c r="E29" s="309" t="e">
        <f>+E30*E$63/100</f>
        <v>#REF!</v>
      </c>
      <c r="F29" s="309" t="e">
        <f>+F30*F$63/100</f>
        <v>#REF!</v>
      </c>
      <c r="G29" s="309" t="e">
        <f>+G30*G$63/100</f>
        <v>#REF!</v>
      </c>
      <c r="H29" s="309" t="e">
        <f>+H30*H$63/100</f>
        <v>#REF!</v>
      </c>
      <c r="I29" s="287">
        <f>+I30*I$17/100</f>
        <v>1558.5831768189735</v>
      </c>
      <c r="J29" s="290"/>
    </row>
    <row r="30" spans="1:22" s="307" customFormat="1" ht="23.1" customHeight="1">
      <c r="A30" s="301"/>
      <c r="B30" s="314" t="s">
        <v>215</v>
      </c>
      <c r="C30" s="303" t="e">
        <f>100*C29/C$63</f>
        <v>#REF!</v>
      </c>
      <c r="D30" s="303">
        <v>1</v>
      </c>
      <c r="E30" s="303">
        <v>0.9</v>
      </c>
      <c r="F30" s="303">
        <v>0.8</v>
      </c>
      <c r="G30" s="303">
        <v>0.7</v>
      </c>
      <c r="H30" s="303">
        <v>0.5</v>
      </c>
      <c r="I30" s="312">
        <f>'[2]cc2006-2010'!I117</f>
        <v>1.1020520368010418</v>
      </c>
      <c r="J30" s="313"/>
    </row>
    <row r="31" spans="1:22" ht="40.5" customHeight="1">
      <c r="A31" s="283">
        <f>+A29+1</f>
        <v>5</v>
      </c>
      <c r="B31" s="293" t="s">
        <v>259</v>
      </c>
      <c r="C31" s="309" t="e">
        <f>+D31+E31+F31+G31+H31</f>
        <v>#REF!</v>
      </c>
      <c r="D31" s="309" t="e">
        <f>+D32*D$63/100</f>
        <v>#REF!</v>
      </c>
      <c r="E31" s="309" t="e">
        <f>+E32*E$63/100</f>
        <v>#REF!</v>
      </c>
      <c r="F31" s="309" t="e">
        <f>+F32*F$63/100</f>
        <v>#REF!</v>
      </c>
      <c r="G31" s="309" t="e">
        <f>+G32*G$63/100</f>
        <v>#REF!</v>
      </c>
      <c r="H31" s="309" t="e">
        <f>+H32*H$63/100</f>
        <v>#REF!</v>
      </c>
      <c r="I31" s="287">
        <f>+I32*I$17/100</f>
        <v>1099.5489068325121</v>
      </c>
      <c r="J31" s="290"/>
    </row>
    <row r="32" spans="1:22" s="307" customFormat="1" ht="23.1" customHeight="1">
      <c r="A32" s="301"/>
      <c r="B32" s="314" t="s">
        <v>215</v>
      </c>
      <c r="C32" s="303" t="e">
        <f>100*C31/C$63</f>
        <v>#REF!</v>
      </c>
      <c r="D32" s="303">
        <v>0.8</v>
      </c>
      <c r="E32" s="303">
        <v>0.7</v>
      </c>
      <c r="F32" s="303">
        <v>0.6</v>
      </c>
      <c r="G32" s="303">
        <v>0.5</v>
      </c>
      <c r="H32" s="303">
        <v>0.4</v>
      </c>
      <c r="I32" s="312">
        <f>'[2]cc2006-2010'!I126</f>
        <v>0.77747542149806792</v>
      </c>
      <c r="J32" s="313"/>
    </row>
    <row r="33" spans="1:22" s="270" customFormat="1" ht="40.5" customHeight="1">
      <c r="A33" s="272" t="s">
        <v>100</v>
      </c>
      <c r="B33" s="298" t="s">
        <v>258</v>
      </c>
      <c r="C33" s="300" t="e">
        <f>+D33+E33+F33+G33+H33</f>
        <v>#REF!</v>
      </c>
      <c r="D33" s="300" t="e">
        <f t="shared" ref="D33:I33" si="3">+D35+D37+D39+D41+D43+D45+D47+D49+D51</f>
        <v>#REF!</v>
      </c>
      <c r="E33" s="300" t="e">
        <f t="shared" si="3"/>
        <v>#REF!</v>
      </c>
      <c r="F33" s="300" t="e">
        <f t="shared" si="3"/>
        <v>#REF!</v>
      </c>
      <c r="G33" s="300" t="e">
        <f t="shared" si="3"/>
        <v>#REF!</v>
      </c>
      <c r="H33" s="300" t="e">
        <f t="shared" si="3"/>
        <v>#REF!</v>
      </c>
      <c r="I33" s="274">
        <f t="shared" si="3"/>
        <v>68161.307973416406</v>
      </c>
      <c r="J33" s="279"/>
      <c r="M33" s="270" t="s">
        <v>257</v>
      </c>
      <c r="N33" s="270" t="s">
        <v>255</v>
      </c>
      <c r="O33" s="270" t="s">
        <v>254</v>
      </c>
      <c r="P33" s="270" t="s">
        <v>252</v>
      </c>
    </row>
    <row r="34" spans="1:22" s="307" customFormat="1" ht="24" customHeight="1">
      <c r="A34" s="301"/>
      <c r="B34" s="314" t="s">
        <v>215</v>
      </c>
      <c r="C34" s="303" t="e">
        <f t="shared" ref="C34:H34" si="4">100*C33/C$63</f>
        <v>#REF!</v>
      </c>
      <c r="D34" s="303" t="e">
        <f t="shared" si="4"/>
        <v>#REF!</v>
      </c>
      <c r="E34" s="303" t="e">
        <f t="shared" si="4"/>
        <v>#REF!</v>
      </c>
      <c r="F34" s="303" t="e">
        <f t="shared" si="4"/>
        <v>#REF!</v>
      </c>
      <c r="G34" s="303" t="e">
        <f t="shared" si="4"/>
        <v>#REF!</v>
      </c>
      <c r="H34" s="303" t="e">
        <f t="shared" si="4"/>
        <v>#REF!</v>
      </c>
      <c r="I34" s="303"/>
      <c r="J34" s="313"/>
    </row>
    <row r="35" spans="1:22" ht="40.5" customHeight="1">
      <c r="A35" s="283">
        <f>+A31+1</f>
        <v>6</v>
      </c>
      <c r="B35" s="293" t="s">
        <v>256</v>
      </c>
      <c r="C35" s="309" t="e">
        <f>+D35+E35+F35+G35+H35</f>
        <v>#REF!</v>
      </c>
      <c r="D35" s="309" t="e">
        <f>+D36*D$63/100</f>
        <v>#REF!</v>
      </c>
      <c r="E35" s="309" t="e">
        <f>+E36*E$63/100</f>
        <v>#REF!</v>
      </c>
      <c r="F35" s="309" t="e">
        <f>+F36*F$63/100</f>
        <v>#REF!</v>
      </c>
      <c r="G35" s="309" t="e">
        <f>+G36*G$63/100</f>
        <v>#REF!</v>
      </c>
      <c r="H35" s="309" t="e">
        <f>+H36*H$63/100</f>
        <v>#REF!</v>
      </c>
      <c r="I35" s="287">
        <f>+I36*I$17/100</f>
        <v>5609.5943888967131</v>
      </c>
      <c r="J35" s="290"/>
      <c r="L35" s="245" t="s">
        <v>255</v>
      </c>
      <c r="M35" s="245">
        <v>0.1</v>
      </c>
    </row>
    <row r="36" spans="1:22" s="307" customFormat="1" ht="23.1" customHeight="1">
      <c r="A36" s="301"/>
      <c r="B36" s="314" t="s">
        <v>215</v>
      </c>
      <c r="C36" s="303" t="e">
        <f>100*C35/C$63</f>
        <v>#REF!</v>
      </c>
      <c r="D36" s="303">
        <v>3</v>
      </c>
      <c r="E36" s="303">
        <v>3</v>
      </c>
      <c r="F36" s="303">
        <v>3</v>
      </c>
      <c r="G36" s="303">
        <v>3</v>
      </c>
      <c r="H36" s="303">
        <v>3</v>
      </c>
      <c r="I36" s="312">
        <f>'[2]cc2006-2010'!I138</f>
        <v>3.9664645518173423</v>
      </c>
      <c r="J36" s="313"/>
      <c r="L36" s="307" t="s">
        <v>254</v>
      </c>
      <c r="M36" s="307">
        <v>0.25</v>
      </c>
    </row>
    <row r="37" spans="1:22" ht="40.5" customHeight="1">
      <c r="A37" s="283">
        <f>+A35+1</f>
        <v>7</v>
      </c>
      <c r="B37" s="293" t="s">
        <v>253</v>
      </c>
      <c r="C37" s="309" t="e">
        <f>+D37+E37+F37+G37+H37</f>
        <v>#REF!</v>
      </c>
      <c r="D37" s="309" t="e">
        <f>+D38*D$63/100</f>
        <v>#REF!</v>
      </c>
      <c r="E37" s="309" t="e">
        <f>+E38*E$63/100</f>
        <v>#REF!</v>
      </c>
      <c r="F37" s="309" t="e">
        <f>+F38*F$63/100</f>
        <v>#REF!</v>
      </c>
      <c r="G37" s="309" t="e">
        <f>+G38*G$63/100</f>
        <v>#REF!</v>
      </c>
      <c r="H37" s="309" t="e">
        <f>+H38*H$63/100</f>
        <v>#REF!</v>
      </c>
      <c r="I37" s="287">
        <f>+I38*I$17/100</f>
        <v>5019.7</v>
      </c>
      <c r="J37" s="290"/>
      <c r="L37" s="245" t="s">
        <v>252</v>
      </c>
      <c r="M37" s="245">
        <v>0.55000000000000004</v>
      </c>
    </row>
    <row r="38" spans="1:22" s="307" customFormat="1" ht="23.1" customHeight="1">
      <c r="A38" s="301"/>
      <c r="B38" s="314" t="s">
        <v>215</v>
      </c>
      <c r="C38" s="303" t="e">
        <f>100*C37/C$63</f>
        <v>#REF!</v>
      </c>
      <c r="D38" s="303">
        <v>2.8</v>
      </c>
      <c r="E38" s="303">
        <v>3</v>
      </c>
      <c r="F38" s="303">
        <v>3.2</v>
      </c>
      <c r="G38" s="303">
        <v>3.3</v>
      </c>
      <c r="H38" s="303">
        <v>3.4</v>
      </c>
      <c r="I38" s="312">
        <f>'[2]cc2006-2010'!I153</f>
        <v>3.549358604281097</v>
      </c>
      <c r="J38" s="313"/>
    </row>
    <row r="39" spans="1:22" ht="40.5" customHeight="1">
      <c r="A39" s="283">
        <f>+A37+1</f>
        <v>8</v>
      </c>
      <c r="B39" s="284" t="s">
        <v>251</v>
      </c>
      <c r="C39" s="309" t="e">
        <f>+D39+E39+F39+G39+H39</f>
        <v>#REF!</v>
      </c>
      <c r="D39" s="310" t="e">
        <f>+D40*D$63/100</f>
        <v>#REF!</v>
      </c>
      <c r="E39" s="309" t="e">
        <f>+E40*E$63/100</f>
        <v>#REF!</v>
      </c>
      <c r="F39" s="309" t="e">
        <f>+F40*F$63/100</f>
        <v>#REF!</v>
      </c>
      <c r="G39" s="309" t="e">
        <f>+G40*G$63/100</f>
        <v>#REF!</v>
      </c>
      <c r="H39" s="309" t="e">
        <f>+H40*H$63/100</f>
        <v>#REF!</v>
      </c>
      <c r="I39" s="287">
        <f>+I40*I$17/100</f>
        <v>2954.3022918643965</v>
      </c>
      <c r="J39" s="290"/>
      <c r="K39" s="291"/>
      <c r="M39" s="292"/>
      <c r="N39" s="291"/>
      <c r="P39" s="292"/>
      <c r="Q39" s="291"/>
      <c r="S39" s="292"/>
      <c r="T39" s="291"/>
      <c r="V39" s="292"/>
    </row>
    <row r="40" spans="1:22" s="307" customFormat="1" ht="23.1" customHeight="1">
      <c r="A40" s="301"/>
      <c r="B40" s="314" t="s">
        <v>215</v>
      </c>
      <c r="C40" s="303" t="e">
        <f>100*C39/C$63</f>
        <v>#REF!</v>
      </c>
      <c r="D40" s="303">
        <v>1.7</v>
      </c>
      <c r="E40" s="303">
        <v>1.7</v>
      </c>
      <c r="F40" s="303">
        <v>1.8</v>
      </c>
      <c r="G40" s="303">
        <v>1.9</v>
      </c>
      <c r="H40" s="303">
        <v>1.9</v>
      </c>
      <c r="I40" s="312">
        <f>'[2]cc2006-2010'!I162</f>
        <v>2.0889452077367694</v>
      </c>
      <c r="J40" s="313"/>
    </row>
    <row r="41" spans="1:22" ht="40.5" customHeight="1">
      <c r="A41" s="283">
        <f>+A39+1</f>
        <v>9</v>
      </c>
      <c r="B41" s="293" t="s">
        <v>232</v>
      </c>
      <c r="C41" s="309" t="e">
        <f>+D41+E41+F41+G41+H41</f>
        <v>#REF!</v>
      </c>
      <c r="D41" s="309" t="e">
        <f>+D42*D$63/100</f>
        <v>#REF!</v>
      </c>
      <c r="E41" s="309" t="e">
        <f>+E42*E$63/100</f>
        <v>#REF!</v>
      </c>
      <c r="F41" s="309" t="e">
        <f>+F42*F$63/100</f>
        <v>#REF!</v>
      </c>
      <c r="G41" s="309" t="e">
        <f>+G42*G$63/100</f>
        <v>#REF!</v>
      </c>
      <c r="H41" s="309" t="e">
        <f>+H42*H$63/100</f>
        <v>#REF!</v>
      </c>
      <c r="I41" s="287">
        <f>+I42*I$17/100</f>
        <v>24837.7</v>
      </c>
      <c r="J41" s="290"/>
      <c r="L41" s="245" t="s">
        <v>250</v>
      </c>
    </row>
    <row r="42" spans="1:22" s="307" customFormat="1" ht="23.1" customHeight="1">
      <c r="A42" s="301"/>
      <c r="B42" s="314" t="s">
        <v>215</v>
      </c>
      <c r="C42" s="303" t="e">
        <f>100*C41/C$63</f>
        <v>#REF!</v>
      </c>
      <c r="D42" s="303">
        <v>15.8</v>
      </c>
      <c r="E42" s="303">
        <v>16</v>
      </c>
      <c r="F42" s="303">
        <v>16.2</v>
      </c>
      <c r="G42" s="303">
        <v>16.399999999999999</v>
      </c>
      <c r="H42" s="303">
        <v>16.5</v>
      </c>
      <c r="I42" s="312">
        <f>'[2]cc2006-2010'!I190</f>
        <v>17.562385044037015</v>
      </c>
      <c r="J42" s="313"/>
    </row>
    <row r="43" spans="1:22" ht="40.5" customHeight="1">
      <c r="A43" s="283">
        <f>+A41+1</f>
        <v>10</v>
      </c>
      <c r="B43" s="293" t="s">
        <v>249</v>
      </c>
      <c r="C43" s="309" t="e">
        <f>+D43+E43+F43+G43+H43</f>
        <v>#REF!</v>
      </c>
      <c r="D43" s="309" t="e">
        <f>+D44*D$63/100</f>
        <v>#REF!</v>
      </c>
      <c r="E43" s="309" t="e">
        <f>+E44*E$63/100</f>
        <v>#REF!</v>
      </c>
      <c r="F43" s="309" t="e">
        <f>+F44*F$63/100</f>
        <v>#REF!</v>
      </c>
      <c r="G43" s="309" t="e">
        <f>+G44*G$63/100</f>
        <v>#REF!</v>
      </c>
      <c r="H43" s="309" t="e">
        <f>+H44*H$63/100</f>
        <v>#REF!</v>
      </c>
      <c r="I43" s="287">
        <f>+I44*I$17/100</f>
        <v>8018.5725045999561</v>
      </c>
      <c r="J43" s="290"/>
      <c r="K43" s="245" t="s">
        <v>249</v>
      </c>
      <c r="L43" s="245">
        <f>+[2]cc2010!C154</f>
        <v>5678.5351351351355</v>
      </c>
      <c r="M43" s="245">
        <f>+L43/(L43+L45)</f>
        <v>0.61896928052609856</v>
      </c>
    </row>
    <row r="44" spans="1:22" s="307" customFormat="1" ht="23.1" customHeight="1">
      <c r="A44" s="301"/>
      <c r="B44" s="314" t="s">
        <v>215</v>
      </c>
      <c r="C44" s="303" t="e">
        <f>100*C43/C$63</f>
        <v>#REF!</v>
      </c>
      <c r="D44" s="303">
        <v>6.1</v>
      </c>
      <c r="E44" s="303">
        <v>6</v>
      </c>
      <c r="F44" s="303">
        <v>5.9</v>
      </c>
      <c r="G44" s="303">
        <v>5.9</v>
      </c>
      <c r="H44" s="303">
        <v>5.8</v>
      </c>
      <c r="I44" s="312">
        <f>'[2]cc2006-2010'!I212</f>
        <v>5.6698187766706534</v>
      </c>
      <c r="J44" s="313"/>
    </row>
    <row r="45" spans="1:22" ht="40.5" customHeight="1">
      <c r="A45" s="283">
        <f>+A43+1</f>
        <v>11</v>
      </c>
      <c r="B45" s="293" t="s">
        <v>248</v>
      </c>
      <c r="C45" s="309" t="e">
        <f>+D45+E45+F45+G45+H45</f>
        <v>#REF!</v>
      </c>
      <c r="D45" s="309" t="e">
        <f>+D46*D$63/100</f>
        <v>#REF!</v>
      </c>
      <c r="E45" s="309" t="e">
        <f>+E46*E$63/100</f>
        <v>#REF!</v>
      </c>
      <c r="F45" s="309" t="e">
        <f>+F46*F$63/100</f>
        <v>#REF!</v>
      </c>
      <c r="G45" s="309" t="e">
        <f>+G46*G$63/100</f>
        <v>#REF!</v>
      </c>
      <c r="H45" s="309" t="e">
        <f>+H46*H$63/100</f>
        <v>#REF!</v>
      </c>
      <c r="I45" s="287">
        <f>+I46*I$17/100</f>
        <v>5461.4312512552769</v>
      </c>
      <c r="J45" s="290"/>
      <c r="K45" s="245" t="s">
        <v>248</v>
      </c>
      <c r="L45" s="245">
        <f>+[2]cc2010!C170</f>
        <v>3495.6441235004659</v>
      </c>
      <c r="M45" s="245">
        <f>+L45/(L43+L45)</f>
        <v>0.38103071947390127</v>
      </c>
    </row>
    <row r="46" spans="1:22" s="307" customFormat="1" ht="24.75" customHeight="1">
      <c r="A46" s="301"/>
      <c r="B46" s="314" t="s">
        <v>215</v>
      </c>
      <c r="C46" s="303" t="e">
        <f>100*C45/C$63</f>
        <v>#REF!</v>
      </c>
      <c r="D46" s="303">
        <v>2.8</v>
      </c>
      <c r="E46" s="303">
        <v>2.9</v>
      </c>
      <c r="F46" s="303">
        <v>2.9</v>
      </c>
      <c r="G46" s="303">
        <v>3</v>
      </c>
      <c r="H46" s="303">
        <v>3</v>
      </c>
      <c r="I46" s="312">
        <f>'[2]cc2006-2010'!I236</f>
        <v>3.8617005006937859</v>
      </c>
      <c r="J46" s="313"/>
    </row>
    <row r="47" spans="1:22" ht="40.5" customHeight="1">
      <c r="A47" s="283">
        <v>12</v>
      </c>
      <c r="B47" s="293" t="s">
        <v>247</v>
      </c>
      <c r="C47" s="309" t="e">
        <f>+D47+E47+F47+G47+H47</f>
        <v>#REF!</v>
      </c>
      <c r="D47" s="309" t="e">
        <f>+D48*D$63/100</f>
        <v>#REF!</v>
      </c>
      <c r="E47" s="309" t="e">
        <f>+E48*E$63/100</f>
        <v>#REF!</v>
      </c>
      <c r="F47" s="309" t="e">
        <f>+F48*F$63/100</f>
        <v>#REF!</v>
      </c>
      <c r="G47" s="309" t="e">
        <f>+G48*G$63/100</f>
        <v>#REF!</v>
      </c>
      <c r="H47" s="309" t="e">
        <f>+H48*H$63/100</f>
        <v>#REF!</v>
      </c>
      <c r="I47" s="287">
        <f>+I48*I$17/100</f>
        <v>3899.9791859763181</v>
      </c>
      <c r="J47" s="290"/>
      <c r="K47" s="245" t="s">
        <v>246</v>
      </c>
      <c r="L47" s="245">
        <f>+[2]cc2010!H192+[2]cc2010!H211</f>
        <v>4522.5339881135333</v>
      </c>
    </row>
    <row r="48" spans="1:22" s="307" customFormat="1" ht="23.1" customHeight="1">
      <c r="A48" s="301"/>
      <c r="B48" s="314" t="s">
        <v>215</v>
      </c>
      <c r="C48" s="303" t="e">
        <f>100*C47/C$63</f>
        <v>#REF!</v>
      </c>
      <c r="D48" s="303">
        <v>1.9</v>
      </c>
      <c r="E48" s="303">
        <v>1.8</v>
      </c>
      <c r="F48" s="303">
        <v>1.7</v>
      </c>
      <c r="G48" s="303">
        <v>1.5</v>
      </c>
      <c r="H48" s="303">
        <v>1.2</v>
      </c>
      <c r="I48" s="312">
        <f>'[2]cc2006-2010'!I270</f>
        <v>2.7576199135928907</v>
      </c>
      <c r="J48" s="313"/>
      <c r="K48" s="245" t="s">
        <v>245</v>
      </c>
      <c r="L48" s="307">
        <f>+[2]cc2010!H192-580</f>
        <v>3116.5592327232416</v>
      </c>
      <c r="M48" s="307">
        <f>+L48/L47</f>
        <v>0.68911792391487137</v>
      </c>
    </row>
    <row r="49" spans="1:13" ht="40.5" customHeight="1">
      <c r="A49" s="283">
        <v>13</v>
      </c>
      <c r="B49" s="293" t="s">
        <v>244</v>
      </c>
      <c r="C49" s="309" t="e">
        <f>+D49+E49+F49+G49+H49</f>
        <v>#REF!</v>
      </c>
      <c r="D49" s="309" t="e">
        <f>+D50*D$63/100</f>
        <v>#REF!</v>
      </c>
      <c r="E49" s="309" t="e">
        <f>+E50*E$63/100</f>
        <v>#REF!</v>
      </c>
      <c r="F49" s="309" t="e">
        <f>+F50*F$63/100</f>
        <v>#REF!</v>
      </c>
      <c r="G49" s="309" t="e">
        <f>+G50*G$63/100</f>
        <v>#REF!</v>
      </c>
      <c r="H49" s="309" t="e">
        <f>+H50*H$63/100</f>
        <v>#REF!</v>
      </c>
      <c r="I49" s="287">
        <f>+I50*I$17/100</f>
        <v>1089.2936307293148</v>
      </c>
      <c r="J49" s="290"/>
      <c r="K49" s="245" t="s">
        <v>243</v>
      </c>
      <c r="L49" s="307">
        <f>+[2]cc2010!H211+580</f>
        <v>1405.9747553902912</v>
      </c>
      <c r="M49" s="245">
        <f>+L49/L47</f>
        <v>0.31088207608512852</v>
      </c>
    </row>
    <row r="50" spans="1:13" s="307" customFormat="1" ht="23.1" customHeight="1">
      <c r="A50" s="301"/>
      <c r="B50" s="314" t="s">
        <v>215</v>
      </c>
      <c r="C50" s="303" t="e">
        <f>100*C49/C$63</f>
        <v>#REF!</v>
      </c>
      <c r="D50" s="303">
        <v>0.8</v>
      </c>
      <c r="E50" s="303">
        <v>0.7</v>
      </c>
      <c r="F50" s="303">
        <v>0.6</v>
      </c>
      <c r="G50" s="303">
        <v>0.5</v>
      </c>
      <c r="H50" s="303">
        <v>0.4</v>
      </c>
      <c r="I50" s="312">
        <f>'[2]cc2006-2010'!I275</f>
        <v>0.77022406136177246</v>
      </c>
      <c r="J50" s="313"/>
    </row>
    <row r="51" spans="1:13" ht="40.5" customHeight="1">
      <c r="A51" s="283">
        <f>+A49+1</f>
        <v>14</v>
      </c>
      <c r="B51" s="293" t="s">
        <v>242</v>
      </c>
      <c r="C51" s="309" t="e">
        <f>+D51+E51+F51+G51+H51</f>
        <v>#REF!</v>
      </c>
      <c r="D51" s="309" t="e">
        <f>+D52*D$63/100</f>
        <v>#REF!</v>
      </c>
      <c r="E51" s="309" t="e">
        <f>+E52*E$63/100</f>
        <v>#REF!</v>
      </c>
      <c r="F51" s="309" t="e">
        <f>+F52*F$63/100</f>
        <v>#REF!</v>
      </c>
      <c r="G51" s="309" t="e">
        <f>+G52*G$63/100</f>
        <v>#REF!</v>
      </c>
      <c r="H51" s="309" t="e">
        <f>+H52*H$63/100</f>
        <v>#REF!</v>
      </c>
      <c r="I51" s="287">
        <f>+I52*I$17/100</f>
        <v>11270.734720094428</v>
      </c>
      <c r="J51" s="290"/>
    </row>
    <row r="52" spans="1:13" s="307" customFormat="1" ht="23.1" customHeight="1">
      <c r="A52" s="301"/>
      <c r="B52" s="314" t="s">
        <v>215</v>
      </c>
      <c r="C52" s="303" t="e">
        <f>100*C51/C$63</f>
        <v>#REF!</v>
      </c>
      <c r="D52" s="303">
        <v>6</v>
      </c>
      <c r="E52" s="303">
        <v>5.8</v>
      </c>
      <c r="F52" s="303">
        <v>5.6</v>
      </c>
      <c r="G52" s="303">
        <v>5.4</v>
      </c>
      <c r="H52" s="303">
        <v>5</v>
      </c>
      <c r="I52" s="312">
        <f>'[2]cc2006-2010'!I294</f>
        <v>7.9693765076273202</v>
      </c>
      <c r="J52" s="313"/>
    </row>
    <row r="53" spans="1:13" s="270" customFormat="1" ht="40.5" customHeight="1">
      <c r="A53" s="272" t="s">
        <v>113</v>
      </c>
      <c r="B53" s="298" t="s">
        <v>241</v>
      </c>
      <c r="C53" s="300" t="e">
        <f>+D53+E53+F53+G53+H53</f>
        <v>#REF!</v>
      </c>
      <c r="D53" s="315" t="e">
        <f>+D54*D$63/100</f>
        <v>#REF!</v>
      </c>
      <c r="E53" s="315" t="e">
        <f>+E54*E$63/100</f>
        <v>#REF!</v>
      </c>
      <c r="F53" s="315" t="e">
        <f>+F54*F$63/100</f>
        <v>#REF!</v>
      </c>
      <c r="G53" s="315" t="e">
        <f>+G54*G$63/100</f>
        <v>#REF!</v>
      </c>
      <c r="H53" s="315" t="e">
        <f>+H54*H$63/100</f>
        <v>#REF!</v>
      </c>
      <c r="I53" s="276">
        <f>+I54*I$17/100</f>
        <v>4635.8</v>
      </c>
      <c r="J53" s="279"/>
      <c r="K53" s="270" t="s">
        <v>241</v>
      </c>
      <c r="L53" s="270">
        <v>3150</v>
      </c>
      <c r="M53" s="245">
        <f>+L53/(L53+L55)</f>
        <v>0.76829268292682928</v>
      </c>
    </row>
    <row r="54" spans="1:13" s="307" customFormat="1" ht="23.1" customHeight="1">
      <c r="A54" s="301"/>
      <c r="B54" s="314" t="s">
        <v>215</v>
      </c>
      <c r="C54" s="303" t="e">
        <f>100*C53/C$63</f>
        <v>#REF!</v>
      </c>
      <c r="D54" s="303">
        <v>2.4</v>
      </c>
      <c r="E54" s="303">
        <v>2.4</v>
      </c>
      <c r="F54" s="303">
        <v>2.4</v>
      </c>
      <c r="G54" s="303">
        <v>2.4</v>
      </c>
      <c r="H54" s="303">
        <v>2.4</v>
      </c>
      <c r="I54" s="312">
        <f>'[2]cc2006-2010'!I302</f>
        <v>3.2779083645887823</v>
      </c>
      <c r="J54" s="313"/>
    </row>
    <row r="55" spans="1:13" s="270" customFormat="1" ht="40.5" customHeight="1">
      <c r="A55" s="272" t="s">
        <v>114</v>
      </c>
      <c r="B55" s="298" t="s">
        <v>240</v>
      </c>
      <c r="C55" s="300" t="e">
        <f>+D55+E55+F55+G55+H55</f>
        <v>#REF!</v>
      </c>
      <c r="D55" s="315" t="e">
        <f>+D56*D$63/100</f>
        <v>#REF!</v>
      </c>
      <c r="E55" s="315" t="e">
        <f>+E56*E$63/100</f>
        <v>#REF!</v>
      </c>
      <c r="F55" s="315" t="e">
        <f>+F56*F$63/100</f>
        <v>#REF!</v>
      </c>
      <c r="G55" s="315" t="e">
        <f>+G56*G$63/100</f>
        <v>#REF!</v>
      </c>
      <c r="H55" s="315" t="e">
        <f>+H56*H$63/100</f>
        <v>#REF!</v>
      </c>
      <c r="I55" s="276">
        <f>+I56*I$17/100</f>
        <v>1770</v>
      </c>
      <c r="J55" s="279"/>
      <c r="K55" s="270" t="s">
        <v>240</v>
      </c>
      <c r="L55" s="270">
        <v>950</v>
      </c>
      <c r="M55" s="270">
        <f>+L55/(L53+L55)</f>
        <v>0.23170731707317074</v>
      </c>
    </row>
    <row r="56" spans="1:13" s="307" customFormat="1" ht="23.1" customHeight="1">
      <c r="A56" s="301"/>
      <c r="B56" s="314" t="s">
        <v>215</v>
      </c>
      <c r="C56" s="303" t="e">
        <f>100*C55/C$63</f>
        <v>#REF!</v>
      </c>
      <c r="D56" s="303">
        <v>0.8</v>
      </c>
      <c r="E56" s="303">
        <v>0.8</v>
      </c>
      <c r="F56" s="303">
        <v>0.8</v>
      </c>
      <c r="G56" s="303">
        <v>0.8</v>
      </c>
      <c r="H56" s="303">
        <v>0.8</v>
      </c>
      <c r="I56" s="312">
        <f>'[2]cc2006-2010'!I310</f>
        <v>1.2515418709439889</v>
      </c>
      <c r="J56" s="313"/>
    </row>
    <row r="57" spans="1:13" s="270" customFormat="1" ht="40.5" hidden="1" customHeight="1">
      <c r="A57" s="316" t="s">
        <v>114</v>
      </c>
      <c r="B57" s="317" t="s">
        <v>239</v>
      </c>
      <c r="C57" s="318">
        <f>'[2]cc2006-2010'!C311</f>
        <v>0</v>
      </c>
      <c r="D57" s="319">
        <f>'[2]cc2006-2010'!D311</f>
        <v>943</v>
      </c>
      <c r="E57" s="319">
        <f>'[2]cc2006-2010'!E311</f>
        <v>889.56</v>
      </c>
      <c r="F57" s="319">
        <f>'[2]cc2006-2010'!F311</f>
        <v>477</v>
      </c>
      <c r="G57" s="319">
        <f>'[2]cc2006-2010'!G311</f>
        <v>191.2</v>
      </c>
      <c r="H57" s="320">
        <f>'[2]cc2006-2010'!H311</f>
        <v>482.2</v>
      </c>
      <c r="I57" s="321">
        <f>'[2]cc2006-2010'!I311</f>
        <v>494.5</v>
      </c>
      <c r="J57" s="279"/>
      <c r="L57" s="270">
        <f>247.4+3244.7</f>
        <v>3492.1</v>
      </c>
    </row>
    <row r="58" spans="1:13" ht="9.75" hidden="1" customHeight="1">
      <c r="A58" s="322"/>
      <c r="B58" s="323"/>
      <c r="C58" s="324"/>
      <c r="D58" s="325"/>
      <c r="E58" s="326"/>
      <c r="F58" s="326"/>
      <c r="G58" s="326"/>
      <c r="H58" s="327"/>
      <c r="I58" s="328"/>
      <c r="J58" s="290"/>
    </row>
    <row r="59" spans="1:13" s="270" customFormat="1" ht="23.1" hidden="1" customHeight="1">
      <c r="A59" s="272"/>
      <c r="B59" s="298" t="s">
        <v>238</v>
      </c>
      <c r="C59" s="274"/>
      <c r="D59" s="298"/>
      <c r="E59" s="276"/>
      <c r="F59" s="276"/>
      <c r="G59" s="276"/>
      <c r="H59" s="277"/>
      <c r="I59" s="278" t="e">
        <f>#REF!+#REF!</f>
        <v>#REF!</v>
      </c>
      <c r="J59" s="279"/>
    </row>
    <row r="60" spans="1:13" s="270" customFormat="1" ht="33.75" hidden="1" customHeight="1">
      <c r="A60" s="272" t="s">
        <v>237</v>
      </c>
      <c r="B60" s="298" t="s">
        <v>236</v>
      </c>
      <c r="C60" s="274"/>
      <c r="D60" s="298"/>
      <c r="E60" s="276">
        <f>+[2]cc2007!C244</f>
        <v>207</v>
      </c>
      <c r="F60" s="276"/>
      <c r="G60" s="276"/>
      <c r="H60" s="277"/>
      <c r="I60" s="278"/>
      <c r="J60" s="279"/>
    </row>
    <row r="61" spans="1:13" ht="9.75" customHeight="1">
      <c r="A61" s="329"/>
      <c r="B61" s="330"/>
      <c r="C61" s="331"/>
      <c r="D61" s="330"/>
      <c r="E61" s="332"/>
      <c r="F61" s="332"/>
      <c r="G61" s="332"/>
      <c r="H61" s="333"/>
      <c r="I61" s="334"/>
      <c r="J61" s="290"/>
    </row>
    <row r="62" spans="1:13" ht="42" customHeight="1"/>
    <row r="63" spans="1:13" s="281" customFormat="1" ht="28.5" customHeight="1">
      <c r="A63" s="272"/>
      <c r="B63" s="298" t="s">
        <v>172</v>
      </c>
      <c r="C63" s="274" t="e">
        <f>+D63+E63+F63+G63+H63</f>
        <v>#REF!</v>
      </c>
      <c r="D63" s="276" t="e">
        <f>1000*(#REF!+#REF!)</f>
        <v>#REF!</v>
      </c>
      <c r="E63" s="276" t="e">
        <f>1000*(#REF!+#REF!)</f>
        <v>#REF!</v>
      </c>
      <c r="F63" s="276" t="e">
        <f>1000*(#REF!+#REF!)</f>
        <v>#REF!</v>
      </c>
      <c r="G63" s="276" t="e">
        <f>1000*(#REF!+#REF!)</f>
        <v>#REF!</v>
      </c>
      <c r="H63" s="276" t="e">
        <f>1000*(#REF!+#REF!)</f>
        <v>#REF!</v>
      </c>
      <c r="I63" s="276"/>
      <c r="J63" s="279"/>
    </row>
    <row r="64" spans="1:13">
      <c r="A64" s="337"/>
    </row>
    <row r="65" spans="1:10">
      <c r="A65" s="245"/>
      <c r="B65" s="338"/>
      <c r="C65" s="339"/>
      <c r="D65" s="338"/>
      <c r="E65" s="338"/>
      <c r="F65" s="340"/>
      <c r="G65" s="338"/>
      <c r="H65" s="341"/>
      <c r="I65" s="342"/>
      <c r="J65" s="342"/>
    </row>
  </sheetData>
  <mergeCells count="3">
    <mergeCell ref="A1:H1"/>
    <mergeCell ref="A2:I2"/>
    <mergeCell ref="F4:I4"/>
  </mergeCells>
  <phoneticPr fontId="68" type="noConversion"/>
  <printOptions horizontalCentered="1"/>
  <pageMargins left="0.70866141732283472" right="0.70866141732283472" top="0.78" bottom="0.65" header="0.31496062992125984" footer="0.31496062992125984"/>
  <pageSetup paperSize="9" firstPageNumber="129" fitToHeight="0" orientation="landscape" horizontalDpi="1200" verticalDpi="1200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1"/>
  <sheetViews>
    <sheetView topLeftCell="A3" zoomScale="85" zoomScaleNormal="85" workbookViewId="0">
      <pane xSplit="2" ySplit="3" topLeftCell="C6" activePane="bottomRight" state="frozen"/>
      <selection activeCell="A3" sqref="A3"/>
      <selection pane="topRight" activeCell="C3" sqref="C3"/>
      <selection pane="bottomLeft" activeCell="A6" sqref="A6"/>
      <selection pane="bottomRight" activeCell="B43" sqref="B43"/>
    </sheetView>
  </sheetViews>
  <sheetFormatPr defaultRowHeight="15.75"/>
  <cols>
    <col min="1" max="1" width="5.85546875" style="367" customWidth="1"/>
    <col min="2" max="2" width="46.28515625" style="364" customWidth="1"/>
    <col min="3" max="3" width="12.7109375" style="365" customWidth="1"/>
    <col min="4" max="4" width="13.5703125" style="367" customWidth="1"/>
    <col min="5" max="6" width="14.42578125" style="363" hidden="1" customWidth="1"/>
    <col min="7" max="7" width="13.85546875" style="363" hidden="1" customWidth="1"/>
    <col min="8" max="9" width="12.7109375" style="363" hidden="1" customWidth="1"/>
    <col min="10" max="10" width="16.140625" style="363" customWidth="1"/>
    <col min="11" max="11" width="18" style="363" customWidth="1"/>
    <col min="12" max="13" width="16" style="363" customWidth="1"/>
    <col min="14" max="14" width="18.7109375" style="363" customWidth="1"/>
    <col min="15" max="16384" width="9.140625" style="363"/>
  </cols>
  <sheetData>
    <row r="1" spans="1:15" ht="36" customHeight="1">
      <c r="A1" s="656" t="s">
        <v>402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</row>
    <row r="2" spans="1:15" ht="21.75" customHeight="1">
      <c r="A2" s="653"/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653"/>
      <c r="M2" s="653"/>
    </row>
    <row r="3" spans="1:15" ht="21.75" customHeight="1">
      <c r="A3" s="658" t="s">
        <v>308</v>
      </c>
      <c r="B3" s="658" t="s">
        <v>284</v>
      </c>
      <c r="C3" s="658" t="s">
        <v>307</v>
      </c>
      <c r="D3" s="659" t="s">
        <v>289</v>
      </c>
      <c r="E3" s="655" t="s">
        <v>293</v>
      </c>
      <c r="F3" s="655"/>
      <c r="G3" s="655"/>
      <c r="H3" s="655"/>
      <c r="I3" s="654" t="s">
        <v>288</v>
      </c>
      <c r="J3" s="654" t="s">
        <v>332</v>
      </c>
      <c r="K3" s="654" t="s">
        <v>394</v>
      </c>
      <c r="L3" s="654" t="s">
        <v>364</v>
      </c>
      <c r="M3" s="654" t="s">
        <v>393</v>
      </c>
    </row>
    <row r="4" spans="1:15" ht="16.5">
      <c r="A4" s="658"/>
      <c r="B4" s="658"/>
      <c r="C4" s="658"/>
      <c r="D4" s="660"/>
      <c r="E4" s="654" t="s">
        <v>290</v>
      </c>
      <c r="F4" s="654" t="s">
        <v>291</v>
      </c>
      <c r="G4" s="655">
        <v>2018</v>
      </c>
      <c r="H4" s="655"/>
      <c r="I4" s="654"/>
      <c r="J4" s="654"/>
      <c r="K4" s="654"/>
      <c r="L4" s="654"/>
      <c r="M4" s="654"/>
    </row>
    <row r="5" spans="1:15" s="366" customFormat="1" ht="23.25" customHeight="1">
      <c r="A5" s="658"/>
      <c r="B5" s="658"/>
      <c r="C5" s="658"/>
      <c r="D5" s="661"/>
      <c r="E5" s="654"/>
      <c r="F5" s="654"/>
      <c r="G5" s="395" t="s">
        <v>294</v>
      </c>
      <c r="H5" s="395" t="s">
        <v>292</v>
      </c>
      <c r="I5" s="654"/>
      <c r="J5" s="654"/>
      <c r="K5" s="654"/>
      <c r="L5" s="654"/>
      <c r="M5" s="654"/>
    </row>
    <row r="6" spans="1:15" s="366" customFormat="1" ht="23.25" customHeight="1">
      <c r="A6" s="396" t="s">
        <v>99</v>
      </c>
      <c r="B6" s="370" t="s">
        <v>285</v>
      </c>
      <c r="C6" s="396"/>
      <c r="D6" s="397"/>
      <c r="E6" s="395"/>
      <c r="F6" s="395"/>
      <c r="G6" s="395"/>
      <c r="H6" s="395"/>
      <c r="I6" s="395"/>
      <c r="J6" s="395"/>
      <c r="K6" s="395"/>
      <c r="L6" s="395"/>
      <c r="M6" s="395"/>
    </row>
    <row r="7" spans="1:15" s="381" customFormat="1" ht="33.75" customHeight="1">
      <c r="A7" s="371">
        <v>1</v>
      </c>
      <c r="B7" s="372" t="s">
        <v>303</v>
      </c>
      <c r="C7" s="376" t="s">
        <v>5</v>
      </c>
      <c r="D7" s="410" t="s">
        <v>374</v>
      </c>
      <c r="E7" s="406"/>
      <c r="F7" s="406"/>
      <c r="G7" s="406"/>
      <c r="H7" s="406"/>
      <c r="I7" s="407">
        <v>8300</v>
      </c>
      <c r="J7" s="412" t="s">
        <v>365</v>
      </c>
      <c r="K7" s="410" t="s">
        <v>355</v>
      </c>
      <c r="L7" s="406" t="s">
        <v>331</v>
      </c>
      <c r="M7" s="451" t="s">
        <v>395</v>
      </c>
    </row>
    <row r="8" spans="1:15" s="381" customFormat="1" ht="23.25" customHeight="1">
      <c r="A8" s="369" t="s">
        <v>281</v>
      </c>
      <c r="B8" s="372" t="s">
        <v>214</v>
      </c>
      <c r="C8" s="382" t="s">
        <v>287</v>
      </c>
      <c r="D8" s="412" t="s">
        <v>367</v>
      </c>
      <c r="E8" s="410"/>
      <c r="F8" s="410"/>
      <c r="G8" s="410"/>
      <c r="H8" s="410"/>
      <c r="I8" s="410"/>
      <c r="J8" s="442" t="s">
        <v>366</v>
      </c>
      <c r="K8" s="385">
        <v>4.58</v>
      </c>
      <c r="L8" s="406" t="s">
        <v>281</v>
      </c>
      <c r="M8" s="458">
        <v>2.6</v>
      </c>
    </row>
    <row r="9" spans="1:15" s="381" customFormat="1" ht="23.25" customHeight="1">
      <c r="A9" s="369" t="s">
        <v>281</v>
      </c>
      <c r="B9" s="372" t="s">
        <v>216</v>
      </c>
      <c r="C9" s="382" t="s">
        <v>287</v>
      </c>
      <c r="D9" s="412" t="s">
        <v>371</v>
      </c>
      <c r="E9" s="406"/>
      <c r="F9" s="406"/>
      <c r="G9" s="406"/>
      <c r="H9" s="406"/>
      <c r="I9" s="407"/>
      <c r="J9" s="443" t="s">
        <v>368</v>
      </c>
      <c r="K9" s="385">
        <v>29.32</v>
      </c>
      <c r="L9" s="406" t="s">
        <v>281</v>
      </c>
      <c r="M9" s="458">
        <v>15.7</v>
      </c>
    </row>
    <row r="10" spans="1:15" s="381" customFormat="1" ht="23.25" customHeight="1">
      <c r="A10" s="387" t="s">
        <v>330</v>
      </c>
      <c r="B10" s="384" t="s">
        <v>262</v>
      </c>
      <c r="C10" s="386" t="s">
        <v>5</v>
      </c>
      <c r="D10" s="446" t="s">
        <v>372</v>
      </c>
      <c r="E10" s="406"/>
      <c r="F10" s="406"/>
      <c r="G10" s="406"/>
      <c r="H10" s="406"/>
      <c r="I10" s="407"/>
      <c r="J10" s="444" t="s">
        <v>369</v>
      </c>
      <c r="K10" s="385">
        <v>54.94</v>
      </c>
      <c r="L10" s="406" t="s">
        <v>281</v>
      </c>
      <c r="M10" s="458">
        <v>17.3</v>
      </c>
    </row>
    <row r="11" spans="1:15" s="381" customFormat="1" ht="23.25" customHeight="1">
      <c r="A11" s="387" t="s">
        <v>330</v>
      </c>
      <c r="B11" s="384" t="s">
        <v>222</v>
      </c>
      <c r="C11" s="386" t="s">
        <v>5</v>
      </c>
      <c r="D11" s="446" t="s">
        <v>373</v>
      </c>
      <c r="E11" s="406"/>
      <c r="F11" s="406"/>
      <c r="G11" s="406"/>
      <c r="H11" s="406"/>
      <c r="I11" s="407"/>
      <c r="J11" s="445" t="s">
        <v>370</v>
      </c>
      <c r="K11" s="385">
        <v>1.49</v>
      </c>
      <c r="L11" s="406" t="s">
        <v>281</v>
      </c>
      <c r="M11" s="458">
        <v>8.8000000000000007</v>
      </c>
      <c r="N11" s="409"/>
    </row>
    <row r="12" spans="1:15" s="381" customFormat="1" ht="23.25" customHeight="1">
      <c r="A12" s="369" t="s">
        <v>281</v>
      </c>
      <c r="B12" s="372" t="s">
        <v>147</v>
      </c>
      <c r="C12" s="382" t="s">
        <v>287</v>
      </c>
      <c r="D12" s="412" t="s">
        <v>376</v>
      </c>
      <c r="E12" s="406"/>
      <c r="F12" s="406"/>
      <c r="G12" s="406"/>
      <c r="H12" s="406"/>
      <c r="I12" s="407"/>
      <c r="J12" s="442" t="s">
        <v>375</v>
      </c>
      <c r="K12" s="385">
        <v>15.73</v>
      </c>
      <c r="L12" s="406" t="s">
        <v>281</v>
      </c>
      <c r="M12" s="458">
        <v>7.47</v>
      </c>
      <c r="N12" s="409"/>
    </row>
    <row r="13" spans="1:15" s="381" customFormat="1" ht="27" customHeight="1">
      <c r="A13" s="371">
        <v>2</v>
      </c>
      <c r="B13" s="372" t="s">
        <v>304</v>
      </c>
      <c r="C13" s="376" t="s">
        <v>5</v>
      </c>
      <c r="D13" s="438">
        <v>100</v>
      </c>
      <c r="E13" s="407"/>
      <c r="F13" s="407"/>
      <c r="G13" s="407"/>
      <c r="H13" s="407"/>
      <c r="I13" s="407"/>
      <c r="J13" s="410">
        <v>100</v>
      </c>
      <c r="K13" s="407">
        <v>100</v>
      </c>
      <c r="L13" s="406" t="s">
        <v>331</v>
      </c>
      <c r="M13" s="410">
        <v>100</v>
      </c>
    </row>
    <row r="14" spans="1:15" s="381" customFormat="1" ht="24" customHeight="1">
      <c r="A14" s="371" t="s">
        <v>281</v>
      </c>
      <c r="B14" s="372" t="s">
        <v>214</v>
      </c>
      <c r="C14" s="376" t="s">
        <v>5</v>
      </c>
      <c r="D14" s="447">
        <v>17.5</v>
      </c>
      <c r="E14" s="407"/>
      <c r="F14" s="407"/>
      <c r="G14" s="407"/>
      <c r="H14" s="407"/>
      <c r="I14" s="407"/>
      <c r="J14" s="412">
        <v>12.21</v>
      </c>
      <c r="K14" s="410" t="s">
        <v>356</v>
      </c>
      <c r="L14" s="406" t="s">
        <v>281</v>
      </c>
      <c r="M14" s="412" t="s">
        <v>396</v>
      </c>
      <c r="O14" s="441"/>
    </row>
    <row r="15" spans="1:15" s="381" customFormat="1" ht="24" customHeight="1">
      <c r="A15" s="371" t="s">
        <v>281</v>
      </c>
      <c r="B15" s="372" t="s">
        <v>216</v>
      </c>
      <c r="C15" s="376" t="s">
        <v>5</v>
      </c>
      <c r="D15" s="447" t="s">
        <v>379</v>
      </c>
      <c r="E15" s="407"/>
      <c r="F15" s="407"/>
      <c r="G15" s="407"/>
      <c r="H15" s="407"/>
      <c r="I15" s="407"/>
      <c r="J15" s="412">
        <v>45.49</v>
      </c>
      <c r="K15" s="410" t="s">
        <v>357</v>
      </c>
      <c r="L15" s="406" t="s">
        <v>281</v>
      </c>
      <c r="M15" s="412" t="s">
        <v>397</v>
      </c>
      <c r="N15" s="459"/>
      <c r="O15" s="441"/>
    </row>
    <row r="16" spans="1:15" s="401" customFormat="1" ht="24" customHeight="1">
      <c r="A16" s="379" t="s">
        <v>330</v>
      </c>
      <c r="B16" s="384" t="s">
        <v>262</v>
      </c>
      <c r="C16" s="399" t="s">
        <v>5</v>
      </c>
      <c r="D16" s="448" t="s">
        <v>380</v>
      </c>
      <c r="E16" s="411"/>
      <c r="F16" s="411"/>
      <c r="G16" s="411"/>
      <c r="H16" s="411"/>
      <c r="I16" s="411"/>
      <c r="J16" s="446" t="s">
        <v>377</v>
      </c>
      <c r="K16" s="440">
        <v>46.6</v>
      </c>
      <c r="L16" s="415" t="s">
        <v>281</v>
      </c>
      <c r="M16" s="446" t="s">
        <v>398</v>
      </c>
      <c r="N16" s="460"/>
      <c r="O16" s="464"/>
    </row>
    <row r="17" spans="1:14" s="401" customFormat="1" ht="24" customHeight="1">
      <c r="A17" s="379" t="s">
        <v>330</v>
      </c>
      <c r="B17" s="384" t="s">
        <v>222</v>
      </c>
      <c r="C17" s="399" t="s">
        <v>5</v>
      </c>
      <c r="D17" s="448" t="s">
        <v>381</v>
      </c>
      <c r="E17" s="411"/>
      <c r="F17" s="411"/>
      <c r="G17" s="411"/>
      <c r="H17" s="411"/>
      <c r="I17" s="411"/>
      <c r="J17" s="446" t="s">
        <v>378</v>
      </c>
      <c r="K17" s="440">
        <v>9.4</v>
      </c>
      <c r="L17" s="415" t="s">
        <v>281</v>
      </c>
      <c r="M17" s="446" t="s">
        <v>399</v>
      </c>
      <c r="N17" s="461"/>
    </row>
    <row r="18" spans="1:14" s="381" customFormat="1" ht="24" customHeight="1">
      <c r="A18" s="371" t="s">
        <v>281</v>
      </c>
      <c r="B18" s="372" t="s">
        <v>147</v>
      </c>
      <c r="C18" s="376" t="s">
        <v>5</v>
      </c>
      <c r="D18" s="463">
        <v>45.37</v>
      </c>
      <c r="E18" s="407"/>
      <c r="F18" s="407"/>
      <c r="G18" s="407"/>
      <c r="H18" s="407"/>
      <c r="I18" s="407"/>
      <c r="J18" s="412">
        <v>42.3</v>
      </c>
      <c r="K18" s="410" t="s">
        <v>358</v>
      </c>
      <c r="L18" s="406" t="s">
        <v>281</v>
      </c>
      <c r="M18" s="456" t="s">
        <v>400</v>
      </c>
      <c r="N18" s="462"/>
    </row>
    <row r="19" spans="1:14" s="381" customFormat="1" ht="27.75" customHeight="1">
      <c r="A19" s="371">
        <v>3</v>
      </c>
      <c r="B19" s="372" t="s">
        <v>305</v>
      </c>
      <c r="C19" s="376" t="s">
        <v>311</v>
      </c>
      <c r="D19" s="457" t="s">
        <v>382</v>
      </c>
      <c r="E19" s="407"/>
      <c r="F19" s="407"/>
      <c r="G19" s="407"/>
      <c r="H19" s="407"/>
      <c r="I19" s="407">
        <v>1300</v>
      </c>
      <c r="J19" s="458">
        <v>68.8</v>
      </c>
      <c r="K19" s="410" t="s">
        <v>335</v>
      </c>
      <c r="L19" s="406" t="s">
        <v>331</v>
      </c>
      <c r="M19" s="410">
        <v>120</v>
      </c>
    </row>
    <row r="20" spans="1:14" s="381" customFormat="1" ht="27.75" customHeight="1">
      <c r="A20" s="371">
        <v>4</v>
      </c>
      <c r="B20" s="372" t="s">
        <v>306</v>
      </c>
      <c r="C20" s="376" t="s">
        <v>311</v>
      </c>
      <c r="D20" s="393">
        <v>24</v>
      </c>
      <c r="E20" s="407"/>
      <c r="F20" s="407"/>
      <c r="G20" s="407"/>
      <c r="H20" s="407"/>
      <c r="I20" s="407"/>
      <c r="J20" s="410">
        <v>36</v>
      </c>
      <c r="K20" s="410" t="s">
        <v>336</v>
      </c>
      <c r="L20" s="406" t="s">
        <v>331</v>
      </c>
      <c r="M20" s="410">
        <v>70</v>
      </c>
    </row>
    <row r="21" spans="1:14" s="381" customFormat="1" ht="27.75" customHeight="1">
      <c r="A21" s="371">
        <v>5</v>
      </c>
      <c r="B21" s="372" t="s">
        <v>314</v>
      </c>
      <c r="C21" s="376" t="s">
        <v>30</v>
      </c>
      <c r="D21" s="438">
        <f>D22+D23</f>
        <v>12125</v>
      </c>
      <c r="E21" s="407"/>
      <c r="F21" s="407"/>
      <c r="G21" s="407"/>
      <c r="H21" s="407"/>
      <c r="I21" s="407">
        <v>8000</v>
      </c>
      <c r="J21" s="410">
        <f>J22+J23</f>
        <v>14800</v>
      </c>
      <c r="K21" s="412" t="s">
        <v>333</v>
      </c>
      <c r="L21" s="406" t="s">
        <v>331</v>
      </c>
      <c r="M21" s="410">
        <f>M22+M23</f>
        <v>26000</v>
      </c>
    </row>
    <row r="22" spans="1:14" s="401" customFormat="1" ht="25.5" customHeight="1">
      <c r="A22" s="383" t="s">
        <v>281</v>
      </c>
      <c r="B22" s="384" t="s">
        <v>309</v>
      </c>
      <c r="C22" s="399" t="s">
        <v>30</v>
      </c>
      <c r="D22" s="413">
        <v>7086</v>
      </c>
      <c r="E22" s="400"/>
      <c r="F22" s="400"/>
      <c r="G22" s="400"/>
      <c r="H22" s="400"/>
      <c r="I22" s="400"/>
      <c r="J22" s="449">
        <v>8000</v>
      </c>
      <c r="K22" s="413" t="s">
        <v>334</v>
      </c>
      <c r="L22" s="439" t="s">
        <v>281</v>
      </c>
      <c r="M22" s="413">
        <v>14000</v>
      </c>
    </row>
    <row r="23" spans="1:14" s="401" customFormat="1" ht="25.5" customHeight="1">
      <c r="A23" s="383" t="s">
        <v>281</v>
      </c>
      <c r="B23" s="384" t="s">
        <v>310</v>
      </c>
      <c r="C23" s="399" t="s">
        <v>30</v>
      </c>
      <c r="D23" s="413">
        <v>5039</v>
      </c>
      <c r="E23" s="400"/>
      <c r="F23" s="400"/>
      <c r="G23" s="400"/>
      <c r="H23" s="400"/>
      <c r="I23" s="400"/>
      <c r="J23" s="449">
        <v>6800</v>
      </c>
      <c r="K23" s="413">
        <v>22000</v>
      </c>
      <c r="L23" s="439" t="s">
        <v>281</v>
      </c>
      <c r="M23" s="413">
        <v>12000</v>
      </c>
    </row>
    <row r="24" spans="1:14" s="381" customFormat="1" ht="25.5" customHeight="1">
      <c r="A24" s="379">
        <v>6</v>
      </c>
      <c r="B24" s="378" t="s">
        <v>362</v>
      </c>
      <c r="C24" s="380" t="s">
        <v>361</v>
      </c>
      <c r="D24" s="438">
        <v>124</v>
      </c>
      <c r="E24" s="393"/>
      <c r="F24" s="393"/>
      <c r="G24" s="393"/>
      <c r="H24" s="393"/>
      <c r="I24" s="393"/>
      <c r="J24" s="438">
        <v>1200</v>
      </c>
      <c r="K24" s="438">
        <v>5000</v>
      </c>
      <c r="L24" s="418" t="s">
        <v>331</v>
      </c>
      <c r="M24" s="438">
        <v>2000</v>
      </c>
    </row>
    <row r="25" spans="1:14" s="381" customFormat="1" ht="26.25" customHeight="1">
      <c r="A25" s="371">
        <v>7</v>
      </c>
      <c r="B25" s="377" t="s">
        <v>329</v>
      </c>
      <c r="C25" s="376" t="s">
        <v>295</v>
      </c>
      <c r="D25" s="414">
        <v>70</v>
      </c>
      <c r="E25" s="394"/>
      <c r="F25" s="394"/>
      <c r="G25" s="394"/>
      <c r="H25" s="394"/>
      <c r="I25" s="394">
        <f>I7</f>
        <v>8300</v>
      </c>
      <c r="J25" s="414">
        <v>90</v>
      </c>
      <c r="K25" s="394">
        <v>140</v>
      </c>
      <c r="L25" s="394" t="str">
        <f>L7</f>
        <v>không đạt</v>
      </c>
      <c r="M25" s="438">
        <v>130</v>
      </c>
    </row>
    <row r="26" spans="1:14" s="381" customFormat="1" ht="36" customHeight="1">
      <c r="A26" s="371">
        <v>8</v>
      </c>
      <c r="B26" s="377" t="s">
        <v>384</v>
      </c>
      <c r="C26" s="376" t="s">
        <v>5</v>
      </c>
      <c r="D26" s="434">
        <v>48.8</v>
      </c>
      <c r="E26" s="394"/>
      <c r="F26" s="394"/>
      <c r="G26" s="394"/>
      <c r="H26" s="394"/>
      <c r="I26" s="394"/>
      <c r="J26" s="414" t="s">
        <v>383</v>
      </c>
      <c r="K26" s="414" t="s">
        <v>337</v>
      </c>
      <c r="L26" s="394" t="s">
        <v>331</v>
      </c>
      <c r="M26" s="433" t="s">
        <v>392</v>
      </c>
    </row>
    <row r="27" spans="1:14" s="423" customFormat="1" ht="26.25" customHeight="1">
      <c r="A27" s="398" t="s">
        <v>100</v>
      </c>
      <c r="B27" s="419" t="s">
        <v>351</v>
      </c>
      <c r="C27" s="417"/>
      <c r="D27" s="420"/>
      <c r="E27" s="421"/>
      <c r="F27" s="421"/>
      <c r="G27" s="421"/>
      <c r="H27" s="421"/>
      <c r="I27" s="421"/>
      <c r="J27" s="421"/>
      <c r="K27" s="422"/>
      <c r="L27" s="421"/>
      <c r="M27" s="452"/>
    </row>
    <row r="28" spans="1:14" s="381" customFormat="1" ht="26.25" customHeight="1">
      <c r="A28" s="371">
        <v>1</v>
      </c>
      <c r="B28" s="377" t="s">
        <v>352</v>
      </c>
      <c r="C28" s="376" t="s">
        <v>5</v>
      </c>
      <c r="D28" s="438">
        <v>23</v>
      </c>
      <c r="E28" s="394"/>
      <c r="F28" s="394"/>
      <c r="G28" s="394"/>
      <c r="H28" s="394"/>
      <c r="I28" s="394"/>
      <c r="J28" s="438">
        <v>93</v>
      </c>
      <c r="K28" s="414" t="s">
        <v>344</v>
      </c>
      <c r="L28" s="394" t="s">
        <v>350</v>
      </c>
      <c r="M28" s="438">
        <v>100</v>
      </c>
    </row>
    <row r="29" spans="1:14" s="381" customFormat="1" ht="26.25" customHeight="1">
      <c r="A29" s="371">
        <v>2</v>
      </c>
      <c r="B29" s="377" t="s">
        <v>353</v>
      </c>
      <c r="C29" s="376" t="s">
        <v>296</v>
      </c>
      <c r="D29" s="414" t="s">
        <v>281</v>
      </c>
      <c r="E29" s="394"/>
      <c r="F29" s="394"/>
      <c r="G29" s="394"/>
      <c r="H29" s="394"/>
      <c r="I29" s="394"/>
      <c r="J29" s="430">
        <v>6</v>
      </c>
      <c r="K29" s="430" t="s">
        <v>338</v>
      </c>
      <c r="L29" s="394" t="s">
        <v>350</v>
      </c>
      <c r="M29" s="438">
        <v>13</v>
      </c>
    </row>
    <row r="30" spans="1:14" s="381" customFormat="1" ht="26.25" customHeight="1">
      <c r="A30" s="398" t="s">
        <v>113</v>
      </c>
      <c r="B30" s="403" t="s">
        <v>286</v>
      </c>
      <c r="C30" s="376"/>
      <c r="D30" s="414"/>
      <c r="E30" s="394"/>
      <c r="F30" s="394"/>
      <c r="G30" s="394"/>
      <c r="H30" s="394"/>
      <c r="I30" s="394"/>
      <c r="J30" s="394"/>
      <c r="K30" s="394"/>
      <c r="L30" s="394"/>
      <c r="M30" s="433"/>
    </row>
    <row r="31" spans="1:14" s="427" customFormat="1" ht="26.25" customHeight="1">
      <c r="A31" s="389">
        <v>1</v>
      </c>
      <c r="B31" s="390" t="s">
        <v>301</v>
      </c>
      <c r="C31" s="391" t="s">
        <v>5</v>
      </c>
      <c r="D31" s="435">
        <v>79.64</v>
      </c>
      <c r="E31" s="425"/>
      <c r="F31" s="425"/>
      <c r="G31" s="425"/>
      <c r="H31" s="425"/>
      <c r="I31" s="425"/>
      <c r="J31" s="435">
        <v>91</v>
      </c>
      <c r="K31" s="429" t="s">
        <v>340</v>
      </c>
      <c r="L31" s="426" t="s">
        <v>350</v>
      </c>
      <c r="M31" s="435">
        <v>92.5</v>
      </c>
    </row>
    <row r="32" spans="1:14" s="427" customFormat="1" ht="26.25" customHeight="1">
      <c r="A32" s="389">
        <v>2</v>
      </c>
      <c r="B32" s="390" t="s">
        <v>302</v>
      </c>
      <c r="C32" s="391" t="s">
        <v>5</v>
      </c>
      <c r="D32" s="435">
        <v>64.8</v>
      </c>
      <c r="E32" s="425"/>
      <c r="F32" s="425"/>
      <c r="G32" s="425"/>
      <c r="H32" s="425"/>
      <c r="I32" s="425"/>
      <c r="J32" s="435">
        <v>91.4</v>
      </c>
      <c r="K32" s="429" t="s">
        <v>341</v>
      </c>
      <c r="L32" s="426" t="s">
        <v>350</v>
      </c>
      <c r="M32" s="435">
        <v>92.4</v>
      </c>
    </row>
    <row r="33" spans="1:13" s="427" customFormat="1" ht="26.25" customHeight="1">
      <c r="A33" s="389">
        <v>3</v>
      </c>
      <c r="B33" s="390" t="s">
        <v>312</v>
      </c>
      <c r="C33" s="391" t="s">
        <v>5</v>
      </c>
      <c r="D33" s="429">
        <v>9</v>
      </c>
      <c r="E33" s="426"/>
      <c r="F33" s="426"/>
      <c r="G33" s="426"/>
      <c r="H33" s="426"/>
      <c r="I33" s="426"/>
      <c r="J33" s="429">
        <v>60</v>
      </c>
      <c r="K33" s="429" t="s">
        <v>342</v>
      </c>
      <c r="L33" s="426" t="s">
        <v>331</v>
      </c>
      <c r="M33" s="454">
        <v>76</v>
      </c>
    </row>
    <row r="34" spans="1:13" s="381" customFormat="1" ht="26.25" customHeight="1">
      <c r="A34" s="379" t="s">
        <v>324</v>
      </c>
      <c r="B34" s="378" t="s">
        <v>313</v>
      </c>
      <c r="C34" s="376"/>
      <c r="D34" s="414"/>
      <c r="E34" s="394"/>
      <c r="F34" s="394"/>
      <c r="G34" s="394"/>
      <c r="H34" s="394"/>
      <c r="I34" s="394"/>
      <c r="J34" s="414"/>
      <c r="K34" s="394"/>
      <c r="L34" s="394"/>
      <c r="M34" s="434"/>
    </row>
    <row r="35" spans="1:13" s="381" customFormat="1" ht="26.25" customHeight="1">
      <c r="A35" s="389">
        <v>4</v>
      </c>
      <c r="B35" s="390" t="s">
        <v>297</v>
      </c>
      <c r="C35" s="391" t="s">
        <v>5</v>
      </c>
      <c r="D35" s="431">
        <v>60.44</v>
      </c>
      <c r="E35" s="414"/>
      <c r="F35" s="414"/>
      <c r="G35" s="414"/>
      <c r="H35" s="414"/>
      <c r="I35" s="394"/>
      <c r="J35" s="414">
        <v>70</v>
      </c>
      <c r="K35" s="414" t="s">
        <v>340</v>
      </c>
      <c r="L35" s="394" t="s">
        <v>331</v>
      </c>
      <c r="M35" s="438">
        <v>90</v>
      </c>
    </row>
    <row r="36" spans="1:13" s="381" customFormat="1" ht="26.25" customHeight="1">
      <c r="A36" s="392">
        <v>5</v>
      </c>
      <c r="B36" s="390" t="s">
        <v>298</v>
      </c>
      <c r="C36" s="391" t="s">
        <v>5</v>
      </c>
      <c r="D36" s="432">
        <v>74.599999999999994</v>
      </c>
      <c r="E36" s="414"/>
      <c r="F36" s="414"/>
      <c r="G36" s="414"/>
      <c r="H36" s="414"/>
      <c r="I36" s="394"/>
      <c r="J36" s="434">
        <v>87</v>
      </c>
      <c r="K36" s="394">
        <v>100</v>
      </c>
      <c r="L36" s="394" t="s">
        <v>331</v>
      </c>
      <c r="M36" s="438">
        <v>93</v>
      </c>
    </row>
    <row r="37" spans="1:13" s="381" customFormat="1" ht="26.25" customHeight="1">
      <c r="A37" s="392">
        <v>6</v>
      </c>
      <c r="B37" s="390" t="s">
        <v>299</v>
      </c>
      <c r="C37" s="391" t="s">
        <v>5</v>
      </c>
      <c r="D37" s="432">
        <v>63</v>
      </c>
      <c r="E37" s="414"/>
      <c r="F37" s="414"/>
      <c r="G37" s="414"/>
      <c r="H37" s="414"/>
      <c r="I37" s="394"/>
      <c r="J37" s="434">
        <v>83.3</v>
      </c>
      <c r="K37" s="414" t="s">
        <v>342</v>
      </c>
      <c r="L37" s="394" t="s">
        <v>331</v>
      </c>
      <c r="M37" s="434">
        <v>94.7</v>
      </c>
    </row>
    <row r="38" spans="1:13" s="381" customFormat="1" ht="26.25" customHeight="1">
      <c r="A38" s="392">
        <v>7</v>
      </c>
      <c r="B38" s="390" t="s">
        <v>300</v>
      </c>
      <c r="C38" s="391" t="s">
        <v>5</v>
      </c>
      <c r="D38" s="432">
        <v>61.5</v>
      </c>
      <c r="E38" s="414"/>
      <c r="F38" s="414"/>
      <c r="G38" s="414"/>
      <c r="H38" s="414"/>
      <c r="I38" s="394"/>
      <c r="J38" s="434">
        <v>82.5</v>
      </c>
      <c r="K38" s="394">
        <v>100</v>
      </c>
      <c r="L38" s="394" t="s">
        <v>331</v>
      </c>
      <c r="M38" s="438">
        <v>90</v>
      </c>
    </row>
    <row r="39" spans="1:13" s="381" customFormat="1" ht="26.25" customHeight="1">
      <c r="A39" s="379">
        <v>8</v>
      </c>
      <c r="B39" s="378" t="s">
        <v>315</v>
      </c>
      <c r="C39" s="376" t="s">
        <v>5</v>
      </c>
      <c r="D39" s="433">
        <v>82.8</v>
      </c>
      <c r="E39" s="414"/>
      <c r="F39" s="414"/>
      <c r="G39" s="414"/>
      <c r="H39" s="414"/>
      <c r="I39" s="394"/>
      <c r="J39" s="414">
        <v>100</v>
      </c>
      <c r="K39" s="394">
        <v>90</v>
      </c>
      <c r="L39" s="394" t="s">
        <v>350</v>
      </c>
      <c r="M39" s="438">
        <v>100</v>
      </c>
    </row>
    <row r="40" spans="1:13" s="381" customFormat="1" ht="26.25" customHeight="1">
      <c r="A40" s="379">
        <v>9</v>
      </c>
      <c r="B40" s="378" t="s">
        <v>317</v>
      </c>
      <c r="C40" s="376" t="s">
        <v>318</v>
      </c>
      <c r="D40" s="434">
        <v>7.36</v>
      </c>
      <c r="E40" s="414"/>
      <c r="F40" s="414"/>
      <c r="G40" s="414"/>
      <c r="H40" s="414"/>
      <c r="I40" s="394"/>
      <c r="J40" s="434">
        <v>10.5</v>
      </c>
      <c r="K40" s="416">
        <v>8.5</v>
      </c>
      <c r="L40" s="394" t="s">
        <v>350</v>
      </c>
      <c r="M40" s="434">
        <v>11.5</v>
      </c>
    </row>
    <row r="41" spans="1:13" s="381" customFormat="1" ht="26.25" customHeight="1">
      <c r="A41" s="379">
        <v>10</v>
      </c>
      <c r="B41" s="378" t="s">
        <v>316</v>
      </c>
      <c r="C41" s="376" t="s">
        <v>5</v>
      </c>
      <c r="D41" s="434">
        <v>75.569999999999993</v>
      </c>
      <c r="E41" s="414"/>
      <c r="F41" s="414"/>
      <c r="G41" s="414"/>
      <c r="H41" s="414"/>
      <c r="I41" s="394"/>
      <c r="J41" s="438">
        <v>90</v>
      </c>
      <c r="K41" s="394">
        <v>90</v>
      </c>
      <c r="L41" s="394" t="s">
        <v>339</v>
      </c>
      <c r="M41" s="438">
        <v>100</v>
      </c>
    </row>
    <row r="42" spans="1:13" s="381" customFormat="1" ht="26.25" customHeight="1">
      <c r="A42" s="379">
        <v>11</v>
      </c>
      <c r="B42" s="378" t="s">
        <v>321</v>
      </c>
      <c r="C42" s="376" t="s">
        <v>5</v>
      </c>
      <c r="D42" s="434">
        <v>70.8</v>
      </c>
      <c r="E42" s="414"/>
      <c r="F42" s="414"/>
      <c r="G42" s="414"/>
      <c r="H42" s="414"/>
      <c r="I42" s="394"/>
      <c r="J42" s="414">
        <v>90</v>
      </c>
      <c r="K42" s="414" t="s">
        <v>336</v>
      </c>
      <c r="L42" s="394" t="s">
        <v>350</v>
      </c>
      <c r="M42" s="434" t="s">
        <v>463</v>
      </c>
    </row>
    <row r="43" spans="1:13" s="620" customFormat="1" ht="33" customHeight="1">
      <c r="A43" s="611">
        <v>12</v>
      </c>
      <c r="B43" s="612" t="s">
        <v>451</v>
      </c>
      <c r="C43" s="613" t="s">
        <v>5</v>
      </c>
      <c r="D43" s="614">
        <v>20.6</v>
      </c>
      <c r="E43" s="615"/>
      <c r="F43" s="615"/>
      <c r="G43" s="615"/>
      <c r="H43" s="615"/>
      <c r="I43" s="616"/>
      <c r="J43" s="617">
        <v>14.9</v>
      </c>
      <c r="K43" s="618"/>
      <c r="L43" s="616"/>
      <c r="M43" s="619">
        <v>14</v>
      </c>
    </row>
    <row r="44" spans="1:13" s="381" customFormat="1" ht="26.25" customHeight="1">
      <c r="A44" s="379">
        <v>13</v>
      </c>
      <c r="B44" s="378" t="s">
        <v>319</v>
      </c>
      <c r="C44" s="424" t="s">
        <v>360</v>
      </c>
      <c r="D44" s="435">
        <v>8.6999999999999993</v>
      </c>
      <c r="E44" s="429"/>
      <c r="F44" s="429"/>
      <c r="G44" s="429"/>
      <c r="H44" s="429"/>
      <c r="I44" s="426"/>
      <c r="J44" s="450">
        <v>8.6</v>
      </c>
      <c r="K44" s="416">
        <v>7.7</v>
      </c>
      <c r="L44" s="394" t="s">
        <v>331</v>
      </c>
      <c r="M44" s="434"/>
    </row>
    <row r="45" spans="1:13" s="381" customFormat="1" ht="26.25" customHeight="1">
      <c r="A45" s="379">
        <v>14</v>
      </c>
      <c r="B45" s="378" t="s">
        <v>59</v>
      </c>
      <c r="C45" s="376" t="s">
        <v>5</v>
      </c>
      <c r="D45" s="414">
        <v>53</v>
      </c>
      <c r="E45" s="414"/>
      <c r="F45" s="414"/>
      <c r="G45" s="414"/>
      <c r="H45" s="414"/>
      <c r="I45" s="394"/>
      <c r="J45" s="414">
        <v>70</v>
      </c>
      <c r="K45" s="414" t="s">
        <v>343</v>
      </c>
      <c r="L45" s="394" t="s">
        <v>350</v>
      </c>
      <c r="M45" s="438">
        <v>80</v>
      </c>
    </row>
    <row r="46" spans="1:13" s="381" customFormat="1" ht="26.25" customHeight="1">
      <c r="A46" s="379">
        <v>15</v>
      </c>
      <c r="B46" s="378" t="s">
        <v>320</v>
      </c>
      <c r="C46" s="376" t="s">
        <v>5</v>
      </c>
      <c r="D46" s="433" t="s">
        <v>385</v>
      </c>
      <c r="E46" s="414"/>
      <c r="F46" s="414"/>
      <c r="G46" s="414"/>
      <c r="H46" s="414"/>
      <c r="I46" s="394"/>
      <c r="J46" s="414">
        <v>30</v>
      </c>
      <c r="K46" s="414" t="s">
        <v>344</v>
      </c>
      <c r="L46" s="394" t="s">
        <v>331</v>
      </c>
      <c r="M46" s="438">
        <v>42</v>
      </c>
    </row>
    <row r="47" spans="1:13" s="381" customFormat="1" ht="26.25" customHeight="1">
      <c r="A47" s="379">
        <v>16</v>
      </c>
      <c r="B47" s="378" t="s">
        <v>345</v>
      </c>
      <c r="C47" s="376" t="s">
        <v>5</v>
      </c>
      <c r="D47" s="433" t="s">
        <v>387</v>
      </c>
      <c r="E47" s="414"/>
      <c r="F47" s="414"/>
      <c r="G47" s="414"/>
      <c r="H47" s="414"/>
      <c r="I47" s="394"/>
      <c r="J47" s="414" t="s">
        <v>386</v>
      </c>
      <c r="K47" s="414" t="s">
        <v>346</v>
      </c>
      <c r="L47" s="394" t="s">
        <v>331</v>
      </c>
      <c r="M47" s="438">
        <v>29</v>
      </c>
    </row>
    <row r="48" spans="1:13" s="381" customFormat="1" ht="32.25" customHeight="1">
      <c r="A48" s="379">
        <v>17</v>
      </c>
      <c r="B48" s="378" t="s">
        <v>322</v>
      </c>
      <c r="C48" s="376" t="s">
        <v>5</v>
      </c>
      <c r="D48" s="430" t="s">
        <v>359</v>
      </c>
      <c r="E48" s="414"/>
      <c r="F48" s="414"/>
      <c r="G48" s="414"/>
      <c r="H48" s="414"/>
      <c r="I48" s="394"/>
      <c r="J48" s="414" t="s">
        <v>363</v>
      </c>
      <c r="K48" s="414" t="s">
        <v>347</v>
      </c>
      <c r="L48" s="394" t="s">
        <v>331</v>
      </c>
      <c r="M48" s="433" t="s">
        <v>401</v>
      </c>
    </row>
    <row r="49" spans="1:13" s="381" customFormat="1" ht="18.75" customHeight="1">
      <c r="A49" s="398" t="s">
        <v>114</v>
      </c>
      <c r="B49" s="403" t="s">
        <v>323</v>
      </c>
      <c r="C49" s="376"/>
      <c r="D49" s="414"/>
      <c r="E49" s="414"/>
      <c r="F49" s="414"/>
      <c r="G49" s="414"/>
      <c r="H49" s="414"/>
      <c r="I49" s="394"/>
      <c r="J49" s="414"/>
      <c r="K49" s="414"/>
      <c r="L49" s="394"/>
      <c r="M49" s="433"/>
    </row>
    <row r="50" spans="1:13" s="381" customFormat="1" ht="18.75" customHeight="1">
      <c r="A50" s="379">
        <v>1</v>
      </c>
      <c r="B50" s="378" t="s">
        <v>88</v>
      </c>
      <c r="C50" s="380" t="s">
        <v>5</v>
      </c>
      <c r="D50" s="434" t="s">
        <v>388</v>
      </c>
      <c r="E50" s="414"/>
      <c r="F50" s="414"/>
      <c r="G50" s="414"/>
      <c r="H50" s="414"/>
      <c r="I50" s="394"/>
      <c r="J50" s="414" t="s">
        <v>389</v>
      </c>
      <c r="K50" s="414" t="s">
        <v>354</v>
      </c>
      <c r="L50" s="394" t="s">
        <v>331</v>
      </c>
      <c r="M50" s="433" t="s">
        <v>389</v>
      </c>
    </row>
    <row r="51" spans="1:13" s="381" customFormat="1" ht="51" customHeight="1">
      <c r="A51" s="379">
        <v>2</v>
      </c>
      <c r="B51" s="405" t="s">
        <v>325</v>
      </c>
      <c r="C51" s="376" t="s">
        <v>5</v>
      </c>
      <c r="D51" s="414" t="s">
        <v>281</v>
      </c>
      <c r="E51" s="414"/>
      <c r="F51" s="414"/>
      <c r="G51" s="414"/>
      <c r="H51" s="414"/>
      <c r="I51" s="394"/>
      <c r="J51" s="433" t="s">
        <v>281</v>
      </c>
      <c r="K51" s="414" t="s">
        <v>348</v>
      </c>
      <c r="L51" s="394" t="s">
        <v>331</v>
      </c>
      <c r="M51" s="433"/>
    </row>
    <row r="52" spans="1:13" s="381" customFormat="1" ht="18.75" customHeight="1">
      <c r="A52" s="379">
        <v>3</v>
      </c>
      <c r="B52" s="378" t="s">
        <v>326</v>
      </c>
      <c r="C52" s="376" t="s">
        <v>5</v>
      </c>
      <c r="D52" s="414">
        <v>90</v>
      </c>
      <c r="E52" s="414"/>
      <c r="F52" s="414"/>
      <c r="G52" s="414"/>
      <c r="H52" s="414"/>
      <c r="I52" s="394"/>
      <c r="J52" s="414">
        <v>93</v>
      </c>
      <c r="K52" s="414" t="s">
        <v>349</v>
      </c>
      <c r="L52" s="394" t="s">
        <v>331</v>
      </c>
      <c r="M52" s="433"/>
    </row>
    <row r="53" spans="1:13" s="381" customFormat="1" ht="18.75" customHeight="1">
      <c r="A53" s="379">
        <v>4</v>
      </c>
      <c r="B53" s="378" t="s">
        <v>327</v>
      </c>
      <c r="C53" s="376" t="s">
        <v>5</v>
      </c>
      <c r="D53" s="414">
        <v>85</v>
      </c>
      <c r="E53" s="414"/>
      <c r="F53" s="414"/>
      <c r="G53" s="414"/>
      <c r="H53" s="414"/>
      <c r="I53" s="394"/>
      <c r="J53" s="414">
        <v>100</v>
      </c>
      <c r="K53" s="414" t="s">
        <v>340</v>
      </c>
      <c r="L53" s="394" t="s">
        <v>350</v>
      </c>
      <c r="M53" s="438">
        <v>100</v>
      </c>
    </row>
    <row r="54" spans="1:13" s="381" customFormat="1" ht="30" customHeight="1">
      <c r="A54" s="379">
        <v>5</v>
      </c>
      <c r="B54" s="378" t="s">
        <v>328</v>
      </c>
      <c r="C54" s="376" t="s">
        <v>5</v>
      </c>
      <c r="D54" s="414">
        <v>70</v>
      </c>
      <c r="E54" s="414"/>
      <c r="F54" s="414"/>
      <c r="G54" s="414"/>
      <c r="H54" s="414"/>
      <c r="I54" s="394"/>
      <c r="J54" s="414">
        <v>90</v>
      </c>
      <c r="K54" s="428">
        <v>100</v>
      </c>
      <c r="L54" s="394" t="s">
        <v>331</v>
      </c>
      <c r="M54" s="438">
        <v>98</v>
      </c>
    </row>
    <row r="55" spans="1:13" s="402" customFormat="1" ht="33">
      <c r="A55" s="379">
        <v>6</v>
      </c>
      <c r="B55" s="378" t="s">
        <v>390</v>
      </c>
      <c r="C55" s="380" t="s">
        <v>5</v>
      </c>
      <c r="D55" s="436" t="s">
        <v>391</v>
      </c>
      <c r="E55" s="437"/>
      <c r="F55" s="437"/>
      <c r="G55" s="437"/>
      <c r="H55" s="437"/>
      <c r="I55" s="379"/>
      <c r="J55" s="428">
        <v>54</v>
      </c>
      <c r="K55" s="428">
        <v>100</v>
      </c>
      <c r="L55" s="379" t="s">
        <v>331</v>
      </c>
      <c r="M55" s="453">
        <v>72</v>
      </c>
    </row>
    <row r="56" spans="1:13" ht="16.5">
      <c r="A56" s="404"/>
      <c r="B56" s="388"/>
      <c r="C56" s="374"/>
      <c r="D56" s="368"/>
      <c r="E56" s="375"/>
      <c r="F56" s="375"/>
      <c r="G56" s="375"/>
      <c r="H56" s="375"/>
      <c r="I56" s="375"/>
      <c r="J56" s="375"/>
      <c r="K56" s="375"/>
      <c r="L56" s="375"/>
      <c r="M56" s="375"/>
    </row>
    <row r="57" spans="1:13" ht="16.5">
      <c r="A57" s="404"/>
      <c r="B57" s="388"/>
      <c r="C57" s="374"/>
      <c r="D57" s="368"/>
      <c r="E57" s="375"/>
      <c r="F57" s="375"/>
      <c r="G57" s="375"/>
      <c r="H57" s="375"/>
      <c r="I57" s="375"/>
      <c r="J57" s="375"/>
      <c r="K57" s="375"/>
      <c r="L57" s="375"/>
      <c r="M57" s="375"/>
    </row>
    <row r="58" spans="1:13" ht="16.5">
      <c r="A58" s="455"/>
      <c r="B58" s="388"/>
      <c r="C58" s="374"/>
      <c r="D58" s="368"/>
      <c r="E58" s="375"/>
      <c r="F58" s="375"/>
      <c r="G58" s="375"/>
      <c r="H58" s="375"/>
      <c r="I58" s="375"/>
      <c r="J58" s="375"/>
      <c r="K58" s="375"/>
      <c r="L58" s="375"/>
      <c r="M58" s="375"/>
    </row>
    <row r="59" spans="1:13" ht="16.5">
      <c r="A59" s="404"/>
      <c r="B59" s="388"/>
      <c r="C59" s="374"/>
      <c r="D59" s="368"/>
      <c r="E59" s="375"/>
      <c r="F59" s="375"/>
      <c r="G59" s="375"/>
      <c r="H59" s="375"/>
      <c r="I59" s="375"/>
      <c r="J59" s="375"/>
      <c r="K59" s="375"/>
      <c r="L59" s="375"/>
      <c r="M59" s="375"/>
    </row>
    <row r="60" spans="1:13" ht="16.5">
      <c r="A60" s="368"/>
      <c r="B60" s="373"/>
      <c r="C60" s="374"/>
      <c r="D60" s="368"/>
      <c r="E60" s="375"/>
      <c r="F60" s="375"/>
      <c r="G60" s="375"/>
      <c r="H60" s="375"/>
      <c r="I60" s="375"/>
      <c r="J60" s="375"/>
      <c r="K60" s="375"/>
      <c r="L60" s="375"/>
      <c r="M60" s="375"/>
    </row>
    <row r="61" spans="1:13" ht="16.5">
      <c r="A61" s="368"/>
      <c r="B61" s="373"/>
      <c r="C61" s="374"/>
      <c r="D61" s="368"/>
      <c r="E61" s="375"/>
      <c r="F61" s="375"/>
      <c r="G61" s="375"/>
      <c r="H61" s="375"/>
      <c r="I61" s="375"/>
      <c r="J61" s="408"/>
      <c r="K61" s="375"/>
      <c r="L61" s="375"/>
      <c r="M61" s="375"/>
    </row>
    <row r="62" spans="1:13" ht="16.5">
      <c r="A62" s="368"/>
      <c r="B62" s="373"/>
      <c r="C62" s="374"/>
      <c r="D62" s="368"/>
      <c r="E62" s="375"/>
      <c r="F62" s="375"/>
      <c r="G62" s="375"/>
      <c r="H62" s="375"/>
      <c r="I62" s="375"/>
      <c r="J62" s="375"/>
      <c r="K62" s="375"/>
      <c r="L62" s="375"/>
      <c r="M62" s="375"/>
    </row>
    <row r="63" spans="1:13" ht="16.5">
      <c r="A63" s="368"/>
      <c r="B63" s="373"/>
      <c r="C63" s="374"/>
      <c r="D63" s="368"/>
      <c r="E63" s="375"/>
      <c r="F63" s="375"/>
      <c r="G63" s="375"/>
      <c r="H63" s="375"/>
      <c r="I63" s="375"/>
      <c r="J63" s="375"/>
      <c r="K63" s="375"/>
      <c r="L63" s="375"/>
      <c r="M63" s="375"/>
    </row>
    <row r="64" spans="1:13" ht="16.5">
      <c r="A64" s="368"/>
      <c r="B64" s="373"/>
      <c r="C64" s="374"/>
      <c r="D64" s="368"/>
      <c r="E64" s="375"/>
      <c r="F64" s="375"/>
      <c r="G64" s="375"/>
      <c r="H64" s="375"/>
      <c r="I64" s="375"/>
      <c r="J64" s="375"/>
      <c r="K64" s="375"/>
      <c r="L64" s="375"/>
      <c r="M64" s="375"/>
    </row>
    <row r="65" spans="1:13" ht="16.5">
      <c r="A65" s="368"/>
      <c r="B65" s="373"/>
      <c r="C65" s="374"/>
      <c r="D65" s="368"/>
      <c r="E65" s="375"/>
      <c r="F65" s="375"/>
      <c r="G65" s="375"/>
      <c r="H65" s="375"/>
      <c r="I65" s="375"/>
      <c r="J65" s="375"/>
      <c r="K65" s="375"/>
      <c r="L65" s="375"/>
      <c r="M65" s="375"/>
    </row>
    <row r="66" spans="1:13" ht="16.5">
      <c r="A66" s="368"/>
      <c r="B66" s="373"/>
      <c r="C66" s="374"/>
      <c r="D66" s="368"/>
      <c r="E66" s="375"/>
      <c r="F66" s="375"/>
      <c r="G66" s="375"/>
      <c r="H66" s="375"/>
      <c r="I66" s="375"/>
      <c r="J66" s="375"/>
      <c r="K66" s="375"/>
      <c r="L66" s="375"/>
      <c r="M66" s="375"/>
    </row>
    <row r="67" spans="1:13" ht="16.5">
      <c r="A67" s="368"/>
      <c r="B67" s="373"/>
      <c r="C67" s="374"/>
      <c r="D67" s="368"/>
      <c r="E67" s="375"/>
      <c r="F67" s="375"/>
      <c r="G67" s="375"/>
      <c r="H67" s="375"/>
      <c r="I67" s="375"/>
      <c r="J67" s="375"/>
      <c r="K67" s="375"/>
      <c r="L67" s="375"/>
      <c r="M67" s="375"/>
    </row>
    <row r="68" spans="1:13" ht="16.5">
      <c r="A68" s="368"/>
      <c r="B68" s="373"/>
      <c r="C68" s="374"/>
      <c r="D68" s="368"/>
      <c r="E68" s="375"/>
      <c r="F68" s="375"/>
      <c r="G68" s="375"/>
      <c r="H68" s="375"/>
      <c r="I68" s="375"/>
      <c r="J68" s="375"/>
      <c r="K68" s="375"/>
      <c r="L68" s="375"/>
      <c r="M68" s="375"/>
    </row>
    <row r="69" spans="1:13" ht="16.5">
      <c r="A69" s="368"/>
      <c r="B69" s="373"/>
      <c r="C69" s="374"/>
      <c r="D69" s="368"/>
      <c r="E69" s="375"/>
      <c r="F69" s="375"/>
      <c r="G69" s="375"/>
      <c r="H69" s="375"/>
      <c r="I69" s="375"/>
      <c r="J69" s="375"/>
      <c r="K69" s="375"/>
      <c r="L69" s="375"/>
      <c r="M69" s="375"/>
    </row>
    <row r="70" spans="1:13" ht="16.5">
      <c r="A70" s="368"/>
      <c r="B70" s="373"/>
      <c r="C70" s="374"/>
      <c r="D70" s="368"/>
      <c r="E70" s="375"/>
      <c r="F70" s="375"/>
      <c r="G70" s="375"/>
      <c r="H70" s="375"/>
      <c r="I70" s="375"/>
      <c r="J70" s="375"/>
      <c r="K70" s="375"/>
      <c r="L70" s="375"/>
      <c r="M70" s="375"/>
    </row>
    <row r="71" spans="1:13" ht="16.5">
      <c r="A71" s="368"/>
      <c r="B71" s="373"/>
      <c r="C71" s="374"/>
      <c r="D71" s="368"/>
      <c r="E71" s="375"/>
      <c r="F71" s="375"/>
      <c r="G71" s="375"/>
      <c r="H71" s="375"/>
      <c r="I71" s="375"/>
      <c r="J71" s="375"/>
      <c r="K71" s="375"/>
      <c r="L71" s="375"/>
      <c r="M71" s="375"/>
    </row>
    <row r="72" spans="1:13" ht="16.5">
      <c r="A72" s="368"/>
      <c r="B72" s="373"/>
      <c r="C72" s="374"/>
      <c r="D72" s="368"/>
      <c r="E72" s="375"/>
      <c r="F72" s="375"/>
      <c r="G72" s="375"/>
      <c r="H72" s="375"/>
      <c r="I72" s="375"/>
      <c r="J72" s="375"/>
      <c r="K72" s="375"/>
      <c r="L72" s="375"/>
      <c r="M72" s="375"/>
    </row>
    <row r="73" spans="1:13" ht="16.5">
      <c r="A73" s="368"/>
      <c r="B73" s="373"/>
      <c r="C73" s="374"/>
      <c r="D73" s="368"/>
      <c r="E73" s="375"/>
      <c r="F73" s="375"/>
      <c r="G73" s="375"/>
      <c r="H73" s="375"/>
      <c r="I73" s="375"/>
      <c r="J73" s="375"/>
      <c r="K73" s="375"/>
      <c r="L73" s="375"/>
      <c r="M73" s="375"/>
    </row>
    <row r="74" spans="1:13" ht="16.5">
      <c r="A74" s="368"/>
      <c r="B74" s="373"/>
      <c r="C74" s="374"/>
      <c r="D74" s="368"/>
      <c r="E74" s="375"/>
      <c r="F74" s="375"/>
      <c r="G74" s="375"/>
      <c r="H74" s="375"/>
      <c r="I74" s="375"/>
      <c r="J74" s="375"/>
      <c r="K74" s="375"/>
      <c r="L74" s="375"/>
      <c r="M74" s="375"/>
    </row>
    <row r="75" spans="1:13" ht="16.5">
      <c r="A75" s="368"/>
      <c r="B75" s="373"/>
      <c r="C75" s="374"/>
      <c r="D75" s="368"/>
      <c r="E75" s="375"/>
      <c r="F75" s="375"/>
      <c r="G75" s="375"/>
      <c r="H75" s="375"/>
      <c r="I75" s="375"/>
      <c r="J75" s="375"/>
      <c r="K75" s="375"/>
      <c r="L75" s="375"/>
      <c r="M75" s="375"/>
    </row>
    <row r="76" spans="1:13" ht="16.5">
      <c r="A76" s="368"/>
      <c r="B76" s="373"/>
      <c r="C76" s="374"/>
      <c r="D76" s="368"/>
      <c r="E76" s="375"/>
      <c r="F76" s="375"/>
      <c r="G76" s="375"/>
      <c r="H76" s="375"/>
      <c r="I76" s="375"/>
      <c r="J76" s="375"/>
      <c r="K76" s="375"/>
      <c r="L76" s="375"/>
      <c r="M76" s="375"/>
    </row>
    <row r="77" spans="1:13" ht="16.5">
      <c r="A77" s="368"/>
      <c r="B77" s="373"/>
      <c r="C77" s="374"/>
      <c r="D77" s="368"/>
      <c r="E77" s="375"/>
      <c r="F77" s="375"/>
      <c r="G77" s="375"/>
      <c r="H77" s="375"/>
      <c r="I77" s="375"/>
      <c r="J77" s="375"/>
      <c r="K77" s="375"/>
      <c r="L77" s="375"/>
      <c r="M77" s="375"/>
    </row>
    <row r="78" spans="1:13" ht="16.5">
      <c r="A78" s="368"/>
      <c r="B78" s="373"/>
      <c r="C78" s="374"/>
      <c r="D78" s="368"/>
      <c r="E78" s="375"/>
      <c r="F78" s="375"/>
      <c r="G78" s="375"/>
      <c r="H78" s="375"/>
      <c r="I78" s="375"/>
      <c r="J78" s="375"/>
      <c r="K78" s="375"/>
      <c r="L78" s="375"/>
      <c r="M78" s="375"/>
    </row>
    <row r="79" spans="1:13" ht="16.5">
      <c r="A79" s="368"/>
      <c r="B79" s="373"/>
      <c r="C79" s="374"/>
      <c r="D79" s="368"/>
      <c r="E79" s="375"/>
      <c r="F79" s="375"/>
      <c r="G79" s="375"/>
      <c r="H79" s="375"/>
      <c r="I79" s="375"/>
      <c r="J79" s="375"/>
      <c r="K79" s="375"/>
      <c r="L79" s="375"/>
      <c r="M79" s="375"/>
    </row>
    <row r="80" spans="1:13" ht="16.5">
      <c r="A80" s="368"/>
      <c r="B80" s="373"/>
      <c r="C80" s="374"/>
      <c r="D80" s="368"/>
      <c r="E80" s="375"/>
      <c r="F80" s="375"/>
      <c r="G80" s="375"/>
      <c r="H80" s="375"/>
      <c r="I80" s="375"/>
      <c r="J80" s="375"/>
      <c r="K80" s="375"/>
      <c r="L80" s="375"/>
      <c r="M80" s="375"/>
    </row>
    <row r="81" spans="1:13" ht="16.5">
      <c r="A81" s="368"/>
      <c r="B81" s="373"/>
      <c r="C81" s="374"/>
      <c r="D81" s="368"/>
      <c r="E81" s="375"/>
      <c r="F81" s="375"/>
      <c r="G81" s="375"/>
      <c r="H81" s="375"/>
      <c r="I81" s="375"/>
      <c r="J81" s="375"/>
      <c r="K81" s="375"/>
      <c r="L81" s="375"/>
      <c r="M81" s="375"/>
    </row>
    <row r="82" spans="1:13" ht="16.5">
      <c r="A82" s="368"/>
      <c r="B82" s="373"/>
      <c r="C82" s="374"/>
      <c r="D82" s="368"/>
      <c r="E82" s="375"/>
      <c r="F82" s="375"/>
      <c r="G82" s="375"/>
      <c r="H82" s="375"/>
      <c r="I82" s="375"/>
      <c r="J82" s="375"/>
      <c r="K82" s="375"/>
      <c r="L82" s="375"/>
      <c r="M82" s="375"/>
    </row>
    <row r="83" spans="1:13" ht="16.5">
      <c r="A83" s="368"/>
      <c r="B83" s="373"/>
      <c r="C83" s="374"/>
      <c r="D83" s="368"/>
      <c r="E83" s="375"/>
      <c r="F83" s="375"/>
      <c r="G83" s="375"/>
      <c r="H83" s="375"/>
      <c r="I83" s="375"/>
      <c r="J83" s="375"/>
      <c r="K83" s="375"/>
      <c r="L83" s="375"/>
      <c r="M83" s="375"/>
    </row>
    <row r="84" spans="1:13" ht="16.5">
      <c r="A84" s="368"/>
      <c r="B84" s="373"/>
      <c r="C84" s="374"/>
      <c r="D84" s="368"/>
      <c r="E84" s="375"/>
      <c r="F84" s="375"/>
      <c r="G84" s="375"/>
      <c r="H84" s="375"/>
      <c r="I84" s="375"/>
      <c r="J84" s="375"/>
      <c r="K84" s="375"/>
      <c r="L84" s="375"/>
      <c r="M84" s="375"/>
    </row>
    <row r="85" spans="1:13" ht="16.5">
      <c r="A85" s="368"/>
      <c r="B85" s="373"/>
      <c r="C85" s="374"/>
      <c r="D85" s="368"/>
      <c r="E85" s="375"/>
      <c r="F85" s="375"/>
      <c r="G85" s="375"/>
      <c r="H85" s="375"/>
      <c r="I85" s="375"/>
      <c r="J85" s="375"/>
      <c r="K85" s="375"/>
      <c r="L85" s="375"/>
      <c r="M85" s="375"/>
    </row>
    <row r="86" spans="1:13" ht="16.5">
      <c r="A86" s="368"/>
      <c r="B86" s="373"/>
      <c r="C86" s="374"/>
      <c r="D86" s="368"/>
      <c r="E86" s="375"/>
      <c r="F86" s="375"/>
      <c r="G86" s="375"/>
      <c r="H86" s="375"/>
      <c r="I86" s="375"/>
      <c r="J86" s="375"/>
      <c r="K86" s="375"/>
      <c r="L86" s="375"/>
      <c r="M86" s="375"/>
    </row>
    <row r="87" spans="1:13" ht="16.5">
      <c r="A87" s="368"/>
      <c r="B87" s="373"/>
      <c r="C87" s="374"/>
      <c r="D87" s="368"/>
      <c r="E87" s="375"/>
      <c r="F87" s="375"/>
      <c r="G87" s="375"/>
      <c r="H87" s="375"/>
      <c r="I87" s="375"/>
      <c r="J87" s="375"/>
      <c r="K87" s="375"/>
      <c r="L87" s="375"/>
      <c r="M87" s="375"/>
    </row>
    <row r="88" spans="1:13" ht="16.5">
      <c r="A88" s="368"/>
      <c r="B88" s="373"/>
      <c r="C88" s="374"/>
      <c r="D88" s="368"/>
      <c r="E88" s="375"/>
      <c r="F88" s="375"/>
      <c r="G88" s="375"/>
      <c r="H88" s="375"/>
      <c r="I88" s="375"/>
      <c r="J88" s="375"/>
      <c r="K88" s="375"/>
      <c r="L88" s="375"/>
      <c r="M88" s="375"/>
    </row>
    <row r="89" spans="1:13" ht="16.5">
      <c r="A89" s="368"/>
      <c r="B89" s="373"/>
      <c r="C89" s="374"/>
      <c r="D89" s="368"/>
      <c r="E89" s="375"/>
      <c r="F89" s="375"/>
      <c r="G89" s="375"/>
      <c r="H89" s="375"/>
      <c r="I89" s="375"/>
      <c r="J89" s="375"/>
      <c r="K89" s="375"/>
      <c r="L89" s="375"/>
      <c r="M89" s="375"/>
    </row>
    <row r="90" spans="1:13" ht="16.5">
      <c r="A90" s="368"/>
      <c r="B90" s="373"/>
      <c r="C90" s="374"/>
      <c r="D90" s="368"/>
      <c r="E90" s="375"/>
      <c r="F90" s="375"/>
      <c r="G90" s="375"/>
      <c r="H90" s="375"/>
      <c r="I90" s="375"/>
      <c r="J90" s="375"/>
      <c r="K90" s="375"/>
      <c r="L90" s="375"/>
      <c r="M90" s="375"/>
    </row>
    <row r="91" spans="1:13" ht="16.5">
      <c r="A91" s="368"/>
      <c r="B91" s="373"/>
      <c r="C91" s="374"/>
      <c r="D91" s="368"/>
      <c r="E91" s="375"/>
      <c r="F91" s="375"/>
      <c r="G91" s="375"/>
      <c r="H91" s="375"/>
      <c r="I91" s="375"/>
      <c r="J91" s="375"/>
      <c r="K91" s="375"/>
      <c r="L91" s="375"/>
      <c r="M91" s="375"/>
    </row>
    <row r="92" spans="1:13" ht="16.5">
      <c r="A92" s="368"/>
      <c r="B92" s="373"/>
      <c r="C92" s="374"/>
      <c r="D92" s="368"/>
      <c r="E92" s="375"/>
      <c r="F92" s="375"/>
      <c r="G92" s="375"/>
      <c r="H92" s="375"/>
      <c r="I92" s="375"/>
      <c r="J92" s="375"/>
      <c r="K92" s="375"/>
      <c r="L92" s="375"/>
      <c r="M92" s="375"/>
    </row>
    <row r="93" spans="1:13" ht="16.5">
      <c r="A93" s="368"/>
      <c r="B93" s="373"/>
      <c r="C93" s="374"/>
      <c r="D93" s="368"/>
      <c r="E93" s="375"/>
      <c r="F93" s="375"/>
      <c r="G93" s="375"/>
      <c r="H93" s="375"/>
      <c r="I93" s="375"/>
      <c r="J93" s="375"/>
      <c r="K93" s="375"/>
      <c r="L93" s="375"/>
      <c r="M93" s="375"/>
    </row>
    <row r="94" spans="1:13" ht="16.5">
      <c r="A94" s="368"/>
      <c r="B94" s="373"/>
      <c r="C94" s="374"/>
      <c r="D94" s="368"/>
      <c r="E94" s="375"/>
      <c r="F94" s="375"/>
      <c r="G94" s="375"/>
      <c r="H94" s="375"/>
      <c r="I94" s="375"/>
      <c r="J94" s="375"/>
      <c r="K94" s="375"/>
      <c r="L94" s="375"/>
      <c r="M94" s="375"/>
    </row>
    <row r="95" spans="1:13" ht="16.5">
      <c r="A95" s="368"/>
      <c r="B95" s="373"/>
      <c r="C95" s="374"/>
      <c r="D95" s="368"/>
      <c r="E95" s="375"/>
      <c r="F95" s="375"/>
      <c r="G95" s="375"/>
      <c r="H95" s="375"/>
      <c r="I95" s="375"/>
      <c r="J95" s="375"/>
      <c r="K95" s="375"/>
      <c r="L95" s="375"/>
      <c r="M95" s="375"/>
    </row>
    <row r="96" spans="1:13" ht="16.5">
      <c r="A96" s="368"/>
      <c r="B96" s="373"/>
      <c r="C96" s="374"/>
      <c r="D96" s="368"/>
      <c r="E96" s="375"/>
      <c r="F96" s="375"/>
      <c r="G96" s="375"/>
      <c r="H96" s="375"/>
      <c r="I96" s="375"/>
      <c r="J96" s="375"/>
      <c r="K96" s="375"/>
      <c r="L96" s="375"/>
      <c r="M96" s="375"/>
    </row>
    <row r="97" spans="1:13" ht="16.5">
      <c r="A97" s="368"/>
      <c r="B97" s="373"/>
      <c r="C97" s="374"/>
      <c r="D97" s="368"/>
      <c r="E97" s="375"/>
      <c r="F97" s="375"/>
      <c r="G97" s="375"/>
      <c r="H97" s="375"/>
      <c r="I97" s="375"/>
      <c r="J97" s="375"/>
      <c r="K97" s="375"/>
      <c r="L97" s="375"/>
      <c r="M97" s="375"/>
    </row>
    <row r="98" spans="1:13" ht="16.5">
      <c r="A98" s="368"/>
      <c r="B98" s="373"/>
      <c r="C98" s="374"/>
      <c r="D98" s="368"/>
      <c r="E98" s="375"/>
      <c r="F98" s="375"/>
      <c r="G98" s="375"/>
      <c r="H98" s="375"/>
      <c r="I98" s="375"/>
      <c r="J98" s="375"/>
      <c r="K98" s="375"/>
      <c r="L98" s="375"/>
      <c r="M98" s="375"/>
    </row>
    <row r="99" spans="1:13" ht="16.5">
      <c r="A99" s="368"/>
      <c r="B99" s="373"/>
      <c r="C99" s="374"/>
      <c r="D99" s="368"/>
      <c r="E99" s="375"/>
      <c r="F99" s="375"/>
      <c r="G99" s="375"/>
      <c r="H99" s="375"/>
      <c r="I99" s="375"/>
      <c r="J99" s="375"/>
      <c r="K99" s="375"/>
      <c r="L99" s="375"/>
      <c r="M99" s="375"/>
    </row>
    <row r="100" spans="1:13" ht="16.5">
      <c r="A100" s="368"/>
      <c r="B100" s="373"/>
      <c r="C100" s="374"/>
      <c r="D100" s="368"/>
      <c r="E100" s="375"/>
      <c r="F100" s="375"/>
      <c r="G100" s="375"/>
      <c r="H100" s="375"/>
      <c r="I100" s="375"/>
      <c r="J100" s="375"/>
      <c r="K100" s="375"/>
      <c r="L100" s="375"/>
      <c r="M100" s="375"/>
    </row>
    <row r="101" spans="1:13" ht="16.5">
      <c r="A101" s="368"/>
      <c r="B101" s="373"/>
      <c r="C101" s="374"/>
      <c r="D101" s="368"/>
      <c r="E101" s="375"/>
      <c r="F101" s="375"/>
      <c r="G101" s="375"/>
      <c r="H101" s="375"/>
      <c r="I101" s="375"/>
      <c r="J101" s="375"/>
      <c r="K101" s="375"/>
      <c r="L101" s="375"/>
      <c r="M101" s="375"/>
    </row>
    <row r="102" spans="1:13" ht="16.5">
      <c r="A102" s="368"/>
      <c r="B102" s="373"/>
      <c r="C102" s="374"/>
      <c r="D102" s="368"/>
      <c r="E102" s="375"/>
      <c r="F102" s="375"/>
      <c r="G102" s="375"/>
      <c r="H102" s="375"/>
      <c r="I102" s="375"/>
      <c r="J102" s="375"/>
      <c r="K102" s="375"/>
      <c r="L102" s="375"/>
      <c r="M102" s="375"/>
    </row>
    <row r="103" spans="1:13" ht="16.5">
      <c r="A103" s="368"/>
      <c r="B103" s="373"/>
      <c r="C103" s="374"/>
      <c r="D103" s="368"/>
      <c r="E103" s="375"/>
      <c r="F103" s="375"/>
      <c r="G103" s="375"/>
      <c r="H103" s="375"/>
      <c r="I103" s="375"/>
      <c r="J103" s="375"/>
      <c r="K103" s="375"/>
      <c r="L103" s="375"/>
      <c r="M103" s="375"/>
    </row>
    <row r="104" spans="1:13" ht="16.5">
      <c r="A104" s="368"/>
      <c r="B104" s="373"/>
      <c r="C104" s="374"/>
      <c r="D104" s="368"/>
      <c r="E104" s="375"/>
      <c r="F104" s="375"/>
      <c r="G104" s="375"/>
      <c r="H104" s="375"/>
      <c r="I104" s="375"/>
      <c r="J104" s="375"/>
      <c r="K104" s="375"/>
      <c r="L104" s="375"/>
      <c r="M104" s="375"/>
    </row>
    <row r="105" spans="1:13" ht="16.5">
      <c r="A105" s="368"/>
      <c r="B105" s="373"/>
      <c r="C105" s="374"/>
      <c r="D105" s="368"/>
      <c r="E105" s="375"/>
      <c r="F105" s="375"/>
      <c r="G105" s="375"/>
      <c r="H105" s="375"/>
      <c r="I105" s="375"/>
      <c r="J105" s="375"/>
      <c r="K105" s="375"/>
      <c r="L105" s="375"/>
      <c r="M105" s="375"/>
    </row>
    <row r="106" spans="1:13" ht="16.5">
      <c r="A106" s="368"/>
      <c r="B106" s="373"/>
      <c r="C106" s="374"/>
      <c r="D106" s="368"/>
      <c r="E106" s="375"/>
      <c r="F106" s="375"/>
      <c r="G106" s="375"/>
      <c r="H106" s="375"/>
      <c r="I106" s="375"/>
      <c r="J106" s="375"/>
      <c r="K106" s="375"/>
      <c r="L106" s="375"/>
      <c r="M106" s="375"/>
    </row>
    <row r="107" spans="1:13" ht="16.5">
      <c r="A107" s="368"/>
      <c r="B107" s="373"/>
      <c r="C107" s="374"/>
      <c r="D107" s="368"/>
      <c r="E107" s="375"/>
      <c r="F107" s="375"/>
      <c r="G107" s="375"/>
      <c r="H107" s="375"/>
      <c r="I107" s="375"/>
      <c r="J107" s="375"/>
      <c r="K107" s="375"/>
      <c r="L107" s="375"/>
      <c r="M107" s="375"/>
    </row>
    <row r="108" spans="1:13" ht="16.5">
      <c r="A108" s="368"/>
      <c r="B108" s="373"/>
      <c r="C108" s="374"/>
      <c r="D108" s="368"/>
      <c r="E108" s="375"/>
      <c r="F108" s="375"/>
      <c r="G108" s="375"/>
      <c r="H108" s="375"/>
      <c r="I108" s="375"/>
      <c r="J108" s="375"/>
      <c r="K108" s="375"/>
      <c r="L108" s="375"/>
      <c r="M108" s="375"/>
    </row>
    <row r="109" spans="1:13" ht="16.5">
      <c r="A109" s="368"/>
      <c r="B109" s="373"/>
      <c r="C109" s="374"/>
      <c r="D109" s="368"/>
      <c r="E109" s="375"/>
      <c r="F109" s="375"/>
      <c r="G109" s="375"/>
      <c r="H109" s="375"/>
      <c r="I109" s="375"/>
      <c r="J109" s="375"/>
      <c r="K109" s="375"/>
      <c r="L109" s="375"/>
      <c r="M109" s="375"/>
    </row>
    <row r="110" spans="1:13" ht="16.5">
      <c r="A110" s="368"/>
      <c r="B110" s="373"/>
      <c r="C110" s="374"/>
      <c r="D110" s="368"/>
      <c r="E110" s="375"/>
      <c r="F110" s="375"/>
      <c r="G110" s="375"/>
      <c r="H110" s="375"/>
      <c r="I110" s="375"/>
      <c r="J110" s="375"/>
      <c r="K110" s="375"/>
      <c r="L110" s="375"/>
      <c r="M110" s="375"/>
    </row>
    <row r="111" spans="1:13" ht="16.5">
      <c r="A111" s="368"/>
      <c r="B111" s="373"/>
      <c r="C111" s="374"/>
      <c r="D111" s="368"/>
      <c r="E111" s="375"/>
      <c r="F111" s="375"/>
      <c r="G111" s="375"/>
      <c r="H111" s="375"/>
      <c r="I111" s="375"/>
      <c r="J111" s="375"/>
      <c r="K111" s="375"/>
      <c r="L111" s="375"/>
      <c r="M111" s="375"/>
    </row>
    <row r="112" spans="1:13" ht="16.5">
      <c r="A112" s="368"/>
      <c r="B112" s="373"/>
      <c r="C112" s="374"/>
      <c r="D112" s="368"/>
      <c r="E112" s="375"/>
      <c r="F112" s="375"/>
      <c r="G112" s="375"/>
      <c r="H112" s="375"/>
      <c r="I112" s="375"/>
      <c r="J112" s="375"/>
      <c r="K112" s="375"/>
      <c r="L112" s="375"/>
      <c r="M112" s="375"/>
    </row>
    <row r="113" spans="1:13" ht="16.5">
      <c r="A113" s="368"/>
      <c r="B113" s="373"/>
      <c r="C113" s="374"/>
      <c r="D113" s="368"/>
      <c r="E113" s="375"/>
      <c r="F113" s="375"/>
      <c r="G113" s="375"/>
      <c r="H113" s="375"/>
      <c r="I113" s="375"/>
      <c r="J113" s="375"/>
      <c r="K113" s="375"/>
      <c r="L113" s="375"/>
      <c r="M113" s="375"/>
    </row>
    <row r="114" spans="1:13" ht="16.5">
      <c r="A114" s="368"/>
      <c r="B114" s="373"/>
      <c r="C114" s="374"/>
      <c r="D114" s="368"/>
      <c r="E114" s="375"/>
      <c r="F114" s="375"/>
      <c r="G114" s="375"/>
      <c r="H114" s="375"/>
      <c r="I114" s="375"/>
      <c r="J114" s="375"/>
      <c r="K114" s="375"/>
      <c r="L114" s="375"/>
      <c r="M114" s="375"/>
    </row>
    <row r="115" spans="1:13" ht="16.5">
      <c r="A115" s="368"/>
      <c r="B115" s="373"/>
      <c r="C115" s="374"/>
      <c r="D115" s="368"/>
      <c r="E115" s="375"/>
      <c r="F115" s="375"/>
      <c r="G115" s="375"/>
      <c r="H115" s="375"/>
      <c r="I115" s="375"/>
      <c r="J115" s="375"/>
      <c r="K115" s="375"/>
      <c r="L115" s="375"/>
      <c r="M115" s="375"/>
    </row>
    <row r="116" spans="1:13" ht="16.5">
      <c r="A116" s="368"/>
      <c r="B116" s="373"/>
      <c r="C116" s="374"/>
      <c r="D116" s="368"/>
      <c r="E116" s="375"/>
      <c r="F116" s="375"/>
      <c r="G116" s="375"/>
      <c r="H116" s="375"/>
      <c r="I116" s="375"/>
      <c r="J116" s="375"/>
      <c r="K116" s="375"/>
      <c r="L116" s="375"/>
      <c r="M116" s="375"/>
    </row>
    <row r="117" spans="1:13" ht="16.5">
      <c r="A117" s="368"/>
      <c r="B117" s="373"/>
      <c r="C117" s="374"/>
      <c r="D117" s="368"/>
      <c r="E117" s="375"/>
      <c r="F117" s="375"/>
      <c r="G117" s="375"/>
      <c r="H117" s="375"/>
      <c r="I117" s="375"/>
      <c r="J117" s="375"/>
      <c r="K117" s="375"/>
      <c r="L117" s="375"/>
      <c r="M117" s="375"/>
    </row>
    <row r="118" spans="1:13" ht="16.5">
      <c r="A118" s="368"/>
      <c r="B118" s="373"/>
      <c r="C118" s="374"/>
      <c r="D118" s="368"/>
      <c r="E118" s="375"/>
      <c r="F118" s="375"/>
      <c r="G118" s="375"/>
      <c r="H118" s="375"/>
      <c r="I118" s="375"/>
      <c r="J118" s="375"/>
      <c r="K118" s="375"/>
      <c r="L118" s="375"/>
      <c r="M118" s="375"/>
    </row>
    <row r="119" spans="1:13" ht="16.5">
      <c r="A119" s="368"/>
      <c r="B119" s="373"/>
      <c r="C119" s="374"/>
      <c r="D119" s="368"/>
      <c r="E119" s="375"/>
      <c r="F119" s="375"/>
      <c r="G119" s="375"/>
      <c r="H119" s="375"/>
      <c r="I119" s="375"/>
      <c r="J119" s="375"/>
      <c r="K119" s="375"/>
      <c r="L119" s="375"/>
      <c r="M119" s="375"/>
    </row>
    <row r="120" spans="1:13" ht="16.5">
      <c r="A120" s="368"/>
      <c r="B120" s="373"/>
      <c r="C120" s="374"/>
      <c r="D120" s="368"/>
      <c r="E120" s="375"/>
      <c r="F120" s="375"/>
      <c r="G120" s="375"/>
      <c r="H120" s="375"/>
      <c r="I120" s="375"/>
      <c r="J120" s="375"/>
      <c r="K120" s="375"/>
      <c r="L120" s="375"/>
      <c r="M120" s="375"/>
    </row>
    <row r="121" spans="1:13" ht="16.5">
      <c r="A121" s="368"/>
      <c r="B121" s="373"/>
      <c r="C121" s="374"/>
      <c r="D121" s="368"/>
      <c r="E121" s="375"/>
      <c r="F121" s="375"/>
      <c r="G121" s="375"/>
      <c r="H121" s="375"/>
      <c r="I121" s="375"/>
      <c r="J121" s="375"/>
      <c r="K121" s="375"/>
      <c r="L121" s="375"/>
      <c r="M121" s="375"/>
    </row>
    <row r="122" spans="1:13" ht="16.5">
      <c r="A122" s="368"/>
      <c r="B122" s="373"/>
      <c r="C122" s="374"/>
      <c r="D122" s="368"/>
      <c r="E122" s="375"/>
      <c r="F122" s="375"/>
      <c r="G122" s="375"/>
      <c r="H122" s="375"/>
      <c r="I122" s="375"/>
      <c r="J122" s="375"/>
      <c r="K122" s="375"/>
      <c r="L122" s="375"/>
      <c r="M122" s="375"/>
    </row>
    <row r="123" spans="1:13" ht="16.5">
      <c r="A123" s="368"/>
      <c r="B123" s="373"/>
      <c r="C123" s="374"/>
      <c r="D123" s="368"/>
      <c r="E123" s="375"/>
      <c r="F123" s="375"/>
      <c r="G123" s="375"/>
      <c r="H123" s="375"/>
      <c r="I123" s="375"/>
      <c r="J123" s="375"/>
      <c r="K123" s="375"/>
      <c r="L123" s="375"/>
      <c r="M123" s="375"/>
    </row>
    <row r="124" spans="1:13" ht="16.5">
      <c r="A124" s="368"/>
      <c r="B124" s="373"/>
      <c r="C124" s="374"/>
      <c r="D124" s="368"/>
      <c r="E124" s="375"/>
      <c r="F124" s="375"/>
      <c r="G124" s="375"/>
      <c r="H124" s="375"/>
      <c r="I124" s="375"/>
      <c r="J124" s="375"/>
      <c r="K124" s="375"/>
      <c r="L124" s="375"/>
      <c r="M124" s="375"/>
    </row>
    <row r="125" spans="1:13" ht="16.5">
      <c r="A125" s="368"/>
      <c r="B125" s="373"/>
      <c r="C125" s="374"/>
      <c r="D125" s="368"/>
      <c r="E125" s="375"/>
      <c r="F125" s="375"/>
      <c r="G125" s="375"/>
      <c r="H125" s="375"/>
      <c r="I125" s="375"/>
      <c r="J125" s="375"/>
      <c r="K125" s="375"/>
      <c r="L125" s="375"/>
      <c r="M125" s="375"/>
    </row>
    <row r="126" spans="1:13" ht="16.5">
      <c r="A126" s="368"/>
      <c r="B126" s="373"/>
      <c r="C126" s="374"/>
      <c r="D126" s="368"/>
      <c r="E126" s="375"/>
      <c r="F126" s="375"/>
      <c r="G126" s="375"/>
      <c r="H126" s="375"/>
      <c r="I126" s="375"/>
      <c r="J126" s="375"/>
      <c r="K126" s="375"/>
      <c r="L126" s="375"/>
      <c r="M126" s="375"/>
    </row>
    <row r="127" spans="1:13" ht="16.5">
      <c r="A127" s="368"/>
      <c r="B127" s="373"/>
      <c r="C127" s="374"/>
      <c r="D127" s="368"/>
      <c r="E127" s="375"/>
      <c r="F127" s="375"/>
      <c r="G127" s="375"/>
      <c r="H127" s="375"/>
      <c r="I127" s="375"/>
      <c r="J127" s="375"/>
      <c r="K127" s="375"/>
      <c r="L127" s="375"/>
      <c r="M127" s="375"/>
    </row>
    <row r="128" spans="1:13" ht="16.5">
      <c r="A128" s="368"/>
      <c r="B128" s="373"/>
      <c r="C128" s="374"/>
      <c r="D128" s="368"/>
      <c r="E128" s="375"/>
      <c r="F128" s="375"/>
      <c r="G128" s="375"/>
      <c r="H128" s="375"/>
      <c r="I128" s="375"/>
      <c r="J128" s="375"/>
      <c r="K128" s="375"/>
      <c r="L128" s="375"/>
      <c r="M128" s="375"/>
    </row>
    <row r="129" spans="1:13" ht="16.5">
      <c r="A129" s="368"/>
      <c r="B129" s="373"/>
      <c r="C129" s="374"/>
      <c r="D129" s="368"/>
      <c r="E129" s="375"/>
      <c r="F129" s="375"/>
      <c r="G129" s="375"/>
      <c r="H129" s="375"/>
      <c r="I129" s="375"/>
      <c r="J129" s="375"/>
      <c r="K129" s="375"/>
      <c r="L129" s="375"/>
      <c r="M129" s="375"/>
    </row>
    <row r="130" spans="1:13" ht="16.5">
      <c r="A130" s="368"/>
      <c r="B130" s="373"/>
      <c r="C130" s="374"/>
      <c r="D130" s="368"/>
      <c r="E130" s="375"/>
      <c r="F130" s="375"/>
      <c r="G130" s="375"/>
      <c r="H130" s="375"/>
      <c r="I130" s="375"/>
      <c r="J130" s="375"/>
      <c r="K130" s="375"/>
      <c r="L130" s="375"/>
      <c r="M130" s="375"/>
    </row>
    <row r="131" spans="1:13" ht="16.5">
      <c r="A131" s="368"/>
      <c r="B131" s="373"/>
      <c r="C131" s="374"/>
      <c r="D131" s="368"/>
      <c r="E131" s="375"/>
      <c r="F131" s="375"/>
      <c r="G131" s="375"/>
      <c r="H131" s="375"/>
      <c r="I131" s="375"/>
      <c r="J131" s="375"/>
      <c r="K131" s="375"/>
      <c r="L131" s="375"/>
      <c r="M131" s="375"/>
    </row>
    <row r="132" spans="1:13" ht="16.5">
      <c r="A132" s="368"/>
      <c r="B132" s="373"/>
      <c r="C132" s="374"/>
      <c r="D132" s="368"/>
      <c r="E132" s="375"/>
      <c r="F132" s="375"/>
      <c r="G132" s="375"/>
      <c r="H132" s="375"/>
      <c r="I132" s="375"/>
      <c r="J132" s="375"/>
      <c r="K132" s="375"/>
      <c r="L132" s="375"/>
      <c r="M132" s="375"/>
    </row>
    <row r="133" spans="1:13" ht="16.5">
      <c r="A133" s="368"/>
      <c r="B133" s="373"/>
      <c r="C133" s="374"/>
      <c r="D133" s="368"/>
      <c r="E133" s="375"/>
      <c r="F133" s="375"/>
      <c r="G133" s="375"/>
      <c r="H133" s="375"/>
      <c r="I133" s="375"/>
      <c r="J133" s="375"/>
      <c r="K133" s="375"/>
      <c r="L133" s="375"/>
      <c r="M133" s="375"/>
    </row>
    <row r="134" spans="1:13" ht="16.5">
      <c r="A134" s="368"/>
      <c r="B134" s="373"/>
      <c r="C134" s="374"/>
      <c r="D134" s="368"/>
      <c r="E134" s="375"/>
      <c r="F134" s="375"/>
      <c r="G134" s="375"/>
      <c r="H134" s="375"/>
      <c r="I134" s="375"/>
      <c r="J134" s="375"/>
      <c r="K134" s="375"/>
      <c r="L134" s="375"/>
      <c r="M134" s="375"/>
    </row>
    <row r="135" spans="1:13" ht="16.5">
      <c r="A135" s="368"/>
      <c r="B135" s="373"/>
      <c r="C135" s="374"/>
      <c r="D135" s="368"/>
      <c r="E135" s="375"/>
      <c r="F135" s="375"/>
      <c r="G135" s="375"/>
      <c r="H135" s="375"/>
      <c r="I135" s="375"/>
      <c r="J135" s="375"/>
      <c r="K135" s="375"/>
      <c r="L135" s="375"/>
      <c r="M135" s="375"/>
    </row>
    <row r="136" spans="1:13" ht="16.5">
      <c r="A136" s="368"/>
      <c r="B136" s="373"/>
      <c r="C136" s="374"/>
      <c r="D136" s="368"/>
      <c r="E136" s="375"/>
      <c r="F136" s="375"/>
      <c r="G136" s="375"/>
      <c r="H136" s="375"/>
      <c r="I136" s="375"/>
      <c r="J136" s="375"/>
      <c r="K136" s="375"/>
      <c r="L136" s="375"/>
      <c r="M136" s="375"/>
    </row>
    <row r="137" spans="1:13" ht="16.5">
      <c r="A137" s="368"/>
      <c r="B137" s="373"/>
      <c r="C137" s="374"/>
      <c r="D137" s="368"/>
      <c r="E137" s="375"/>
      <c r="F137" s="375"/>
      <c r="G137" s="375"/>
      <c r="H137" s="375"/>
      <c r="I137" s="375"/>
      <c r="J137" s="375"/>
      <c r="K137" s="375"/>
      <c r="L137" s="375"/>
      <c r="M137" s="375"/>
    </row>
    <row r="138" spans="1:13" ht="16.5">
      <c r="A138" s="368"/>
      <c r="B138" s="373"/>
      <c r="C138" s="374"/>
      <c r="D138" s="368"/>
      <c r="E138" s="375"/>
      <c r="F138" s="375"/>
      <c r="G138" s="375"/>
      <c r="H138" s="375"/>
      <c r="I138" s="375"/>
      <c r="J138" s="375"/>
      <c r="K138" s="375"/>
      <c r="L138" s="375"/>
      <c r="M138" s="375"/>
    </row>
    <row r="139" spans="1:13" ht="16.5">
      <c r="A139" s="368"/>
      <c r="B139" s="373"/>
      <c r="C139" s="374"/>
      <c r="D139" s="368"/>
      <c r="E139" s="375"/>
      <c r="F139" s="375"/>
      <c r="G139" s="375"/>
      <c r="H139" s="375"/>
      <c r="I139" s="375"/>
      <c r="J139" s="375"/>
      <c r="K139" s="375"/>
      <c r="L139" s="375"/>
      <c r="M139" s="375"/>
    </row>
    <row r="140" spans="1:13" ht="16.5">
      <c r="A140" s="368"/>
      <c r="B140" s="373"/>
      <c r="C140" s="374"/>
      <c r="D140" s="368"/>
      <c r="E140" s="375"/>
      <c r="F140" s="375"/>
      <c r="G140" s="375"/>
      <c r="H140" s="375"/>
      <c r="I140" s="375"/>
      <c r="J140" s="375"/>
      <c r="K140" s="375"/>
      <c r="L140" s="375"/>
      <c r="M140" s="375"/>
    </row>
    <row r="141" spans="1:13" ht="16.5">
      <c r="A141" s="368"/>
      <c r="B141" s="373"/>
      <c r="C141" s="374"/>
      <c r="D141" s="368"/>
      <c r="E141" s="375"/>
      <c r="F141" s="375"/>
      <c r="G141" s="375"/>
      <c r="H141" s="375"/>
      <c r="I141" s="375"/>
      <c r="J141" s="375"/>
      <c r="K141" s="375"/>
      <c r="L141" s="375"/>
      <c r="M141" s="375"/>
    </row>
    <row r="142" spans="1:13" ht="16.5">
      <c r="A142" s="368"/>
      <c r="B142" s="373"/>
      <c r="C142" s="374"/>
      <c r="D142" s="368"/>
      <c r="E142" s="375"/>
      <c r="F142" s="375"/>
      <c r="G142" s="375"/>
      <c r="H142" s="375"/>
      <c r="I142" s="375"/>
      <c r="J142" s="375"/>
      <c r="K142" s="375"/>
      <c r="L142" s="375"/>
      <c r="M142" s="375"/>
    </row>
    <row r="143" spans="1:13" ht="16.5">
      <c r="A143" s="368"/>
      <c r="B143" s="373"/>
      <c r="C143" s="374"/>
      <c r="D143" s="368"/>
      <c r="E143" s="375"/>
      <c r="F143" s="375"/>
      <c r="G143" s="375"/>
      <c r="H143" s="375"/>
      <c r="I143" s="375"/>
      <c r="J143" s="375"/>
      <c r="K143" s="375"/>
      <c r="L143" s="375"/>
      <c r="M143" s="375"/>
    </row>
    <row r="144" spans="1:13" ht="16.5">
      <c r="A144" s="368"/>
      <c r="B144" s="373"/>
      <c r="C144" s="374"/>
      <c r="D144" s="368"/>
      <c r="E144" s="375"/>
      <c r="F144" s="375"/>
      <c r="G144" s="375"/>
      <c r="H144" s="375"/>
      <c r="I144" s="375"/>
      <c r="J144" s="375"/>
      <c r="K144" s="375"/>
      <c r="L144" s="375"/>
      <c r="M144" s="375"/>
    </row>
    <row r="145" spans="1:13" ht="16.5">
      <c r="A145" s="368"/>
      <c r="B145" s="373"/>
      <c r="C145" s="374"/>
      <c r="D145" s="368"/>
      <c r="E145" s="375"/>
      <c r="F145" s="375"/>
      <c r="G145" s="375"/>
      <c r="H145" s="375"/>
      <c r="I145" s="375"/>
      <c r="J145" s="375"/>
      <c r="K145" s="375"/>
      <c r="L145" s="375"/>
      <c r="M145" s="375"/>
    </row>
    <row r="146" spans="1:13" ht="16.5">
      <c r="A146" s="368"/>
      <c r="B146" s="373"/>
      <c r="C146" s="374"/>
      <c r="D146" s="368"/>
      <c r="E146" s="375"/>
      <c r="F146" s="375"/>
      <c r="G146" s="375"/>
      <c r="H146" s="375"/>
      <c r="I146" s="375"/>
      <c r="J146" s="375"/>
      <c r="K146" s="375"/>
      <c r="L146" s="375"/>
      <c r="M146" s="375"/>
    </row>
    <row r="147" spans="1:13" ht="16.5">
      <c r="A147" s="368"/>
      <c r="B147" s="373"/>
      <c r="C147" s="374"/>
      <c r="D147" s="368"/>
      <c r="E147" s="375"/>
      <c r="F147" s="375"/>
      <c r="G147" s="375"/>
      <c r="H147" s="375"/>
      <c r="I147" s="375"/>
      <c r="J147" s="375"/>
      <c r="K147" s="375"/>
      <c r="L147" s="375"/>
      <c r="M147" s="375"/>
    </row>
    <row r="148" spans="1:13" ht="16.5">
      <c r="A148" s="368"/>
      <c r="B148" s="373"/>
      <c r="C148" s="374"/>
      <c r="D148" s="368"/>
      <c r="E148" s="375"/>
      <c r="F148" s="375"/>
      <c r="G148" s="375"/>
      <c r="H148" s="375"/>
      <c r="I148" s="375"/>
      <c r="J148" s="375"/>
      <c r="K148" s="375"/>
      <c r="L148" s="375"/>
      <c r="M148" s="375"/>
    </row>
    <row r="149" spans="1:13" ht="16.5">
      <c r="A149" s="368"/>
      <c r="B149" s="373"/>
      <c r="C149" s="374"/>
      <c r="D149" s="368"/>
      <c r="E149" s="375"/>
      <c r="F149" s="375"/>
      <c r="G149" s="375"/>
      <c r="H149" s="375"/>
      <c r="I149" s="375"/>
      <c r="J149" s="375"/>
      <c r="K149" s="375"/>
      <c r="L149" s="375"/>
      <c r="M149" s="375"/>
    </row>
    <row r="150" spans="1:13" ht="16.5">
      <c r="A150" s="368"/>
      <c r="B150" s="373"/>
      <c r="C150" s="374"/>
      <c r="D150" s="368"/>
      <c r="E150" s="375"/>
      <c r="F150" s="375"/>
      <c r="G150" s="375"/>
      <c r="H150" s="375"/>
      <c r="I150" s="375"/>
      <c r="J150" s="375"/>
      <c r="K150" s="375"/>
      <c r="L150" s="375"/>
      <c r="M150" s="375"/>
    </row>
    <row r="151" spans="1:13" ht="16.5">
      <c r="A151" s="368"/>
      <c r="B151" s="373"/>
      <c r="C151" s="374"/>
      <c r="D151" s="368"/>
      <c r="E151" s="375"/>
      <c r="F151" s="375"/>
      <c r="G151" s="375"/>
      <c r="H151" s="375"/>
      <c r="I151" s="375"/>
      <c r="J151" s="375"/>
      <c r="K151" s="375"/>
      <c r="L151" s="375"/>
      <c r="M151" s="375"/>
    </row>
    <row r="152" spans="1:13" ht="16.5">
      <c r="A152" s="368"/>
      <c r="B152" s="373"/>
      <c r="C152" s="374"/>
      <c r="D152" s="368"/>
      <c r="E152" s="375"/>
      <c r="F152" s="375"/>
      <c r="G152" s="375"/>
      <c r="H152" s="375"/>
      <c r="I152" s="375"/>
      <c r="J152" s="375"/>
      <c r="K152" s="375"/>
      <c r="L152" s="375"/>
      <c r="M152" s="375"/>
    </row>
    <row r="153" spans="1:13" ht="16.5">
      <c r="A153" s="368"/>
      <c r="B153" s="373"/>
      <c r="C153" s="374"/>
      <c r="D153" s="368"/>
      <c r="E153" s="375"/>
      <c r="F153" s="375"/>
      <c r="G153" s="375"/>
      <c r="H153" s="375"/>
      <c r="I153" s="375"/>
      <c r="J153" s="375"/>
      <c r="K153" s="375"/>
      <c r="L153" s="375"/>
      <c r="M153" s="375"/>
    </row>
    <row r="154" spans="1:13" ht="16.5">
      <c r="A154" s="368"/>
      <c r="B154" s="373"/>
      <c r="C154" s="374"/>
      <c r="D154" s="368"/>
      <c r="E154" s="375"/>
      <c r="F154" s="375"/>
      <c r="G154" s="375"/>
      <c r="H154" s="375"/>
      <c r="I154" s="375"/>
      <c r="J154" s="375"/>
      <c r="K154" s="375"/>
      <c r="L154" s="375"/>
      <c r="M154" s="375"/>
    </row>
    <row r="155" spans="1:13" ht="16.5">
      <c r="A155" s="368"/>
      <c r="B155" s="373"/>
      <c r="C155" s="374"/>
      <c r="D155" s="368"/>
      <c r="E155" s="375"/>
      <c r="F155" s="375"/>
      <c r="G155" s="375"/>
      <c r="H155" s="375"/>
      <c r="I155" s="375"/>
      <c r="J155" s="375"/>
      <c r="K155" s="375"/>
      <c r="L155" s="375"/>
      <c r="M155" s="375"/>
    </row>
    <row r="156" spans="1:13" ht="16.5">
      <c r="A156" s="368"/>
      <c r="B156" s="373"/>
      <c r="C156" s="374"/>
      <c r="D156" s="368"/>
      <c r="E156" s="375"/>
      <c r="F156" s="375"/>
      <c r="G156" s="375"/>
      <c r="H156" s="375"/>
      <c r="I156" s="375"/>
      <c r="J156" s="375"/>
      <c r="K156" s="375"/>
      <c r="L156" s="375"/>
      <c r="M156" s="375"/>
    </row>
    <row r="157" spans="1:13" ht="16.5">
      <c r="A157" s="368"/>
      <c r="B157" s="373"/>
      <c r="C157" s="374"/>
      <c r="D157" s="368"/>
      <c r="E157" s="375"/>
      <c r="F157" s="375"/>
      <c r="G157" s="375"/>
      <c r="H157" s="375"/>
      <c r="I157" s="375"/>
      <c r="J157" s="375"/>
      <c r="K157" s="375"/>
      <c r="L157" s="375"/>
      <c r="M157" s="375"/>
    </row>
    <row r="158" spans="1:13" ht="16.5">
      <c r="A158" s="368"/>
      <c r="B158" s="373"/>
      <c r="C158" s="374"/>
      <c r="D158" s="368"/>
      <c r="E158" s="375"/>
      <c r="F158" s="375"/>
      <c r="G158" s="375"/>
      <c r="H158" s="375"/>
      <c r="I158" s="375"/>
      <c r="J158" s="375"/>
      <c r="K158" s="375"/>
      <c r="L158" s="375"/>
      <c r="M158" s="375"/>
    </row>
    <row r="159" spans="1:13" ht="16.5">
      <c r="A159" s="368"/>
      <c r="B159" s="373"/>
      <c r="C159" s="374"/>
      <c r="D159" s="368"/>
      <c r="E159" s="375"/>
      <c r="F159" s="375"/>
      <c r="G159" s="375"/>
      <c r="H159" s="375"/>
      <c r="I159" s="375"/>
      <c r="J159" s="375"/>
      <c r="K159" s="375"/>
      <c r="L159" s="375"/>
      <c r="M159" s="375"/>
    </row>
    <row r="160" spans="1:13" ht="16.5">
      <c r="A160" s="368"/>
      <c r="B160" s="373"/>
      <c r="C160" s="374"/>
      <c r="D160" s="368"/>
      <c r="E160" s="375"/>
      <c r="F160" s="375"/>
      <c r="G160" s="375"/>
      <c r="H160" s="375"/>
      <c r="I160" s="375"/>
      <c r="J160" s="375"/>
      <c r="K160" s="375"/>
      <c r="L160" s="375"/>
      <c r="M160" s="375"/>
    </row>
    <row r="161" spans="1:13" ht="16.5">
      <c r="A161" s="368"/>
      <c r="B161" s="373"/>
      <c r="C161" s="374"/>
      <c r="D161" s="368"/>
      <c r="E161" s="375"/>
      <c r="F161" s="375"/>
      <c r="G161" s="375"/>
      <c r="H161" s="375"/>
      <c r="I161" s="375"/>
      <c r="J161" s="375"/>
      <c r="K161" s="375"/>
      <c r="L161" s="375"/>
      <c r="M161" s="375"/>
    </row>
    <row r="162" spans="1:13" ht="16.5">
      <c r="A162" s="368"/>
      <c r="B162" s="373"/>
      <c r="C162" s="374"/>
      <c r="D162" s="368"/>
      <c r="E162" s="375"/>
      <c r="F162" s="375"/>
      <c r="G162" s="375"/>
      <c r="H162" s="375"/>
      <c r="I162" s="375"/>
      <c r="J162" s="375"/>
      <c r="K162" s="375"/>
      <c r="L162" s="375"/>
      <c r="M162" s="375"/>
    </row>
    <row r="163" spans="1:13" ht="16.5">
      <c r="A163" s="368"/>
      <c r="B163" s="373"/>
      <c r="C163" s="374"/>
      <c r="D163" s="368"/>
      <c r="E163" s="375"/>
      <c r="F163" s="375"/>
      <c r="G163" s="375"/>
      <c r="H163" s="375"/>
      <c r="I163" s="375"/>
      <c r="J163" s="375"/>
      <c r="K163" s="375"/>
      <c r="L163" s="375"/>
      <c r="M163" s="375"/>
    </row>
    <row r="164" spans="1:13" ht="16.5">
      <c r="A164" s="368"/>
      <c r="B164" s="373"/>
      <c r="C164" s="374"/>
      <c r="D164" s="368"/>
      <c r="E164" s="375"/>
      <c r="F164" s="375"/>
      <c r="G164" s="375"/>
      <c r="H164" s="375"/>
      <c r="I164" s="375"/>
      <c r="J164" s="375"/>
      <c r="K164" s="375"/>
      <c r="L164" s="375"/>
      <c r="M164" s="375"/>
    </row>
    <row r="165" spans="1:13" ht="16.5">
      <c r="A165" s="368"/>
      <c r="B165" s="373"/>
      <c r="C165" s="374"/>
      <c r="D165" s="368"/>
      <c r="E165" s="375"/>
      <c r="F165" s="375"/>
      <c r="G165" s="375"/>
      <c r="H165" s="375"/>
      <c r="I165" s="375"/>
      <c r="J165" s="375"/>
      <c r="K165" s="375"/>
      <c r="L165" s="375"/>
      <c r="M165" s="375"/>
    </row>
    <row r="166" spans="1:13" ht="16.5">
      <c r="A166" s="368"/>
      <c r="B166" s="373"/>
      <c r="C166" s="374"/>
      <c r="D166" s="368"/>
      <c r="E166" s="375"/>
      <c r="F166" s="375"/>
      <c r="G166" s="375"/>
      <c r="H166" s="375"/>
      <c r="I166" s="375"/>
      <c r="J166" s="375"/>
      <c r="K166" s="375"/>
      <c r="L166" s="375"/>
      <c r="M166" s="375"/>
    </row>
    <row r="167" spans="1:13" ht="16.5">
      <c r="A167" s="368"/>
      <c r="B167" s="373"/>
      <c r="C167" s="374"/>
      <c r="D167" s="368"/>
      <c r="E167" s="375"/>
      <c r="F167" s="375"/>
      <c r="G167" s="375"/>
      <c r="H167" s="375"/>
      <c r="I167" s="375"/>
      <c r="J167" s="375"/>
      <c r="K167" s="375"/>
      <c r="L167" s="375"/>
      <c r="M167" s="375"/>
    </row>
    <row r="168" spans="1:13" ht="16.5">
      <c r="A168" s="368"/>
      <c r="B168" s="373"/>
      <c r="C168" s="374"/>
      <c r="D168" s="368"/>
      <c r="E168" s="375"/>
      <c r="F168" s="375"/>
      <c r="G168" s="375"/>
      <c r="H168" s="375"/>
      <c r="I168" s="375"/>
      <c r="J168" s="375"/>
      <c r="K168" s="375"/>
      <c r="L168" s="375"/>
      <c r="M168" s="375"/>
    </row>
    <row r="169" spans="1:13" ht="16.5">
      <c r="A169" s="368"/>
      <c r="B169" s="373"/>
      <c r="C169" s="374"/>
      <c r="D169" s="368"/>
      <c r="E169" s="375"/>
      <c r="F169" s="375"/>
      <c r="G169" s="375"/>
      <c r="H169" s="375"/>
      <c r="I169" s="375"/>
      <c r="J169" s="375"/>
      <c r="K169" s="375"/>
      <c r="L169" s="375"/>
      <c r="M169" s="375"/>
    </row>
    <row r="170" spans="1:13" ht="16.5">
      <c r="A170" s="368"/>
      <c r="B170" s="373"/>
      <c r="C170" s="374"/>
      <c r="D170" s="368"/>
      <c r="E170" s="375"/>
      <c r="F170" s="375"/>
      <c r="G170" s="375"/>
      <c r="H170" s="375"/>
      <c r="I170" s="375"/>
      <c r="J170" s="375"/>
      <c r="K170" s="375"/>
      <c r="L170" s="375"/>
      <c r="M170" s="375"/>
    </row>
    <row r="171" spans="1:13" ht="16.5">
      <c r="A171" s="368"/>
      <c r="B171" s="373"/>
      <c r="C171" s="374"/>
      <c r="D171" s="368"/>
      <c r="E171" s="375"/>
      <c r="F171" s="375"/>
      <c r="G171" s="375"/>
      <c r="H171" s="375"/>
      <c r="I171" s="375"/>
      <c r="J171" s="375"/>
      <c r="K171" s="375"/>
      <c r="L171" s="375"/>
      <c r="M171" s="375"/>
    </row>
    <row r="172" spans="1:13" ht="16.5">
      <c r="A172" s="368"/>
      <c r="B172" s="373"/>
      <c r="C172" s="374"/>
      <c r="D172" s="368"/>
      <c r="E172" s="375"/>
      <c r="F172" s="375"/>
      <c r="G172" s="375"/>
      <c r="H172" s="375"/>
      <c r="I172" s="375"/>
      <c r="J172" s="375"/>
      <c r="K172" s="375"/>
      <c r="L172" s="375"/>
      <c r="M172" s="375"/>
    </row>
    <row r="173" spans="1:13" ht="16.5">
      <c r="A173" s="368"/>
      <c r="B173" s="373"/>
      <c r="C173" s="374"/>
      <c r="D173" s="368"/>
      <c r="E173" s="375"/>
      <c r="F173" s="375"/>
      <c r="G173" s="375"/>
      <c r="H173" s="375"/>
      <c r="I173" s="375"/>
      <c r="J173" s="375"/>
      <c r="K173" s="375"/>
      <c r="L173" s="375"/>
      <c r="M173" s="375"/>
    </row>
    <row r="174" spans="1:13" ht="16.5">
      <c r="A174" s="368"/>
      <c r="B174" s="373"/>
      <c r="C174" s="374"/>
      <c r="D174" s="368"/>
      <c r="E174" s="375"/>
      <c r="F174" s="375"/>
      <c r="G174" s="375"/>
      <c r="H174" s="375"/>
      <c r="I174" s="375"/>
      <c r="J174" s="375"/>
      <c r="K174" s="375"/>
      <c r="L174" s="375"/>
      <c r="M174" s="375"/>
    </row>
    <row r="175" spans="1:13" ht="16.5">
      <c r="A175" s="368"/>
      <c r="B175" s="373"/>
      <c r="C175" s="374"/>
      <c r="D175" s="368"/>
      <c r="E175" s="375"/>
      <c r="F175" s="375"/>
      <c r="G175" s="375"/>
      <c r="H175" s="375"/>
      <c r="I175" s="375"/>
      <c r="J175" s="375"/>
      <c r="K175" s="375"/>
      <c r="L175" s="375"/>
      <c r="M175" s="375"/>
    </row>
    <row r="176" spans="1:13" ht="16.5">
      <c r="A176" s="368"/>
      <c r="B176" s="373"/>
      <c r="C176" s="374"/>
      <c r="D176" s="368"/>
      <c r="E176" s="375"/>
      <c r="F176" s="375"/>
      <c r="G176" s="375"/>
      <c r="H176" s="375"/>
      <c r="I176" s="375"/>
      <c r="J176" s="375"/>
      <c r="K176" s="375"/>
      <c r="L176" s="375"/>
      <c r="M176" s="375"/>
    </row>
    <row r="177" spans="1:13" ht="16.5">
      <c r="A177" s="368"/>
      <c r="B177" s="373"/>
      <c r="C177" s="374"/>
      <c r="D177" s="368"/>
      <c r="E177" s="375"/>
      <c r="F177" s="375"/>
      <c r="G177" s="375"/>
      <c r="H177" s="375"/>
      <c r="I177" s="375"/>
      <c r="J177" s="375"/>
      <c r="K177" s="375"/>
      <c r="L177" s="375"/>
      <c r="M177" s="375"/>
    </row>
    <row r="178" spans="1:13" ht="16.5">
      <c r="A178" s="368"/>
      <c r="B178" s="373"/>
      <c r="C178" s="374"/>
      <c r="D178" s="368"/>
      <c r="E178" s="375"/>
      <c r="F178" s="375"/>
      <c r="G178" s="375"/>
      <c r="H178" s="375"/>
      <c r="I178" s="375"/>
      <c r="J178" s="375"/>
      <c r="K178" s="375"/>
      <c r="L178" s="375"/>
      <c r="M178" s="375"/>
    </row>
    <row r="179" spans="1:13" ht="16.5">
      <c r="A179" s="368"/>
      <c r="B179" s="373"/>
      <c r="C179" s="374"/>
      <c r="D179" s="368"/>
      <c r="E179" s="375"/>
      <c r="F179" s="375"/>
      <c r="G179" s="375"/>
      <c r="H179" s="375"/>
      <c r="I179" s="375"/>
      <c r="J179" s="375"/>
      <c r="K179" s="375"/>
      <c r="L179" s="375"/>
      <c r="M179" s="375"/>
    </row>
    <row r="180" spans="1:13" ht="16.5">
      <c r="A180" s="368"/>
      <c r="B180" s="373"/>
      <c r="C180" s="374"/>
      <c r="D180" s="368"/>
      <c r="E180" s="375"/>
      <c r="F180" s="375"/>
      <c r="G180" s="375"/>
      <c r="H180" s="375"/>
      <c r="I180" s="375"/>
      <c r="J180" s="375"/>
      <c r="K180" s="375"/>
      <c r="L180" s="375"/>
      <c r="M180" s="375"/>
    </row>
    <row r="181" spans="1:13" ht="16.5">
      <c r="A181" s="368"/>
      <c r="B181" s="373"/>
      <c r="C181" s="374"/>
      <c r="D181" s="368"/>
      <c r="E181" s="375"/>
      <c r="F181" s="375"/>
      <c r="G181" s="375"/>
      <c r="H181" s="375"/>
      <c r="I181" s="375"/>
      <c r="J181" s="375"/>
      <c r="K181" s="375"/>
      <c r="L181" s="375"/>
      <c r="M181" s="375"/>
    </row>
    <row r="182" spans="1:13" ht="16.5">
      <c r="A182" s="368"/>
      <c r="B182" s="373"/>
      <c r="C182" s="374"/>
      <c r="D182" s="368"/>
      <c r="E182" s="375"/>
      <c r="F182" s="375"/>
      <c r="G182" s="375"/>
      <c r="H182" s="375"/>
      <c r="I182" s="375"/>
      <c r="J182" s="375"/>
      <c r="K182" s="375"/>
      <c r="L182" s="375"/>
      <c r="M182" s="375"/>
    </row>
    <row r="183" spans="1:13" ht="16.5">
      <c r="A183" s="368"/>
      <c r="B183" s="373"/>
      <c r="C183" s="374"/>
      <c r="D183" s="368"/>
      <c r="E183" s="375"/>
      <c r="F183" s="375"/>
      <c r="G183" s="375"/>
      <c r="H183" s="375"/>
      <c r="I183" s="375"/>
      <c r="J183" s="375"/>
      <c r="K183" s="375"/>
      <c r="L183" s="375"/>
      <c r="M183" s="375"/>
    </row>
    <row r="184" spans="1:13" ht="16.5">
      <c r="A184" s="368"/>
      <c r="B184" s="373"/>
      <c r="C184" s="374"/>
      <c r="D184" s="368"/>
      <c r="E184" s="375"/>
      <c r="F184" s="375"/>
      <c r="G184" s="375"/>
      <c r="H184" s="375"/>
      <c r="I184" s="375"/>
      <c r="J184" s="375"/>
      <c r="K184" s="375"/>
      <c r="L184" s="375"/>
      <c r="M184" s="375"/>
    </row>
    <row r="185" spans="1:13" ht="16.5">
      <c r="A185" s="368"/>
      <c r="B185" s="373"/>
      <c r="C185" s="374"/>
      <c r="D185" s="368"/>
      <c r="E185" s="375"/>
      <c r="F185" s="375"/>
      <c r="G185" s="375"/>
      <c r="H185" s="375"/>
      <c r="I185" s="375"/>
      <c r="J185" s="375"/>
      <c r="K185" s="375"/>
      <c r="L185" s="375"/>
      <c r="M185" s="375"/>
    </row>
    <row r="186" spans="1:13" ht="16.5">
      <c r="A186" s="368"/>
      <c r="B186" s="373"/>
      <c r="C186" s="374"/>
      <c r="D186" s="368"/>
      <c r="E186" s="375"/>
      <c r="F186" s="375"/>
      <c r="G186" s="375"/>
      <c r="H186" s="375"/>
      <c r="I186" s="375"/>
      <c r="J186" s="375"/>
      <c r="K186" s="375"/>
      <c r="L186" s="375"/>
      <c r="M186" s="375"/>
    </row>
    <row r="187" spans="1:13" ht="16.5">
      <c r="A187" s="368"/>
      <c r="B187" s="373"/>
      <c r="C187" s="374"/>
      <c r="D187" s="368"/>
      <c r="E187" s="375"/>
      <c r="F187" s="375"/>
      <c r="G187" s="375"/>
      <c r="H187" s="375"/>
      <c r="I187" s="375"/>
      <c r="J187" s="375"/>
      <c r="K187" s="375"/>
      <c r="L187" s="375"/>
      <c r="M187" s="375"/>
    </row>
    <row r="188" spans="1:13" ht="16.5">
      <c r="A188" s="368"/>
      <c r="B188" s="373"/>
      <c r="C188" s="374"/>
      <c r="D188" s="368"/>
      <c r="E188" s="375"/>
      <c r="F188" s="375"/>
      <c r="G188" s="375"/>
      <c r="H188" s="375"/>
      <c r="I188" s="375"/>
      <c r="J188" s="375"/>
      <c r="K188" s="375"/>
      <c r="L188" s="375"/>
      <c r="M188" s="375"/>
    </row>
    <row r="189" spans="1:13" ht="16.5">
      <c r="A189" s="368"/>
      <c r="B189" s="373"/>
      <c r="C189" s="374"/>
      <c r="D189" s="368"/>
      <c r="E189" s="375"/>
      <c r="F189" s="375"/>
      <c r="G189" s="375"/>
      <c r="H189" s="375"/>
      <c r="I189" s="375"/>
      <c r="J189" s="375"/>
      <c r="K189" s="375"/>
      <c r="L189" s="375"/>
      <c r="M189" s="375"/>
    </row>
    <row r="190" spans="1:13" ht="16.5">
      <c r="A190" s="368"/>
      <c r="B190" s="373"/>
      <c r="C190" s="374"/>
      <c r="D190" s="368"/>
      <c r="E190" s="375"/>
      <c r="F190" s="375"/>
      <c r="G190" s="375"/>
      <c r="H190" s="375"/>
      <c r="I190" s="375"/>
      <c r="J190" s="375"/>
      <c r="K190" s="375"/>
      <c r="L190" s="375"/>
      <c r="M190" s="375"/>
    </row>
    <row r="191" spans="1:13" ht="16.5">
      <c r="A191" s="368"/>
      <c r="B191" s="373"/>
      <c r="C191" s="374"/>
      <c r="D191" s="368"/>
      <c r="E191" s="375"/>
      <c r="F191" s="375"/>
      <c r="G191" s="375"/>
      <c r="H191" s="375"/>
      <c r="I191" s="375"/>
      <c r="J191" s="375"/>
      <c r="K191" s="375"/>
      <c r="L191" s="375"/>
      <c r="M191" s="375"/>
    </row>
    <row r="192" spans="1:13" ht="16.5">
      <c r="A192" s="368"/>
      <c r="B192" s="373"/>
      <c r="C192" s="374"/>
      <c r="D192" s="368"/>
      <c r="E192" s="375"/>
      <c r="F192" s="375"/>
      <c r="G192" s="375"/>
      <c r="H192" s="375"/>
      <c r="I192" s="375"/>
      <c r="J192" s="375"/>
      <c r="K192" s="375"/>
      <c r="L192" s="375"/>
      <c r="M192" s="375"/>
    </row>
    <row r="193" spans="1:13" ht="16.5">
      <c r="A193" s="368"/>
      <c r="B193" s="373"/>
      <c r="C193" s="374"/>
      <c r="D193" s="368"/>
      <c r="E193" s="375"/>
      <c r="F193" s="375"/>
      <c r="G193" s="375"/>
      <c r="H193" s="375"/>
      <c r="I193" s="375"/>
      <c r="J193" s="375"/>
      <c r="K193" s="375"/>
      <c r="L193" s="375"/>
      <c r="M193" s="375"/>
    </row>
    <row r="194" spans="1:13" ht="16.5">
      <c r="A194" s="368"/>
      <c r="B194" s="373"/>
      <c r="C194" s="374"/>
      <c r="D194" s="368"/>
      <c r="E194" s="375"/>
      <c r="F194" s="375"/>
      <c r="G194" s="375"/>
      <c r="H194" s="375"/>
      <c r="I194" s="375"/>
      <c r="J194" s="375"/>
      <c r="K194" s="375"/>
      <c r="L194" s="375"/>
      <c r="M194" s="375"/>
    </row>
    <row r="195" spans="1:13" ht="16.5">
      <c r="A195" s="368"/>
      <c r="B195" s="373"/>
      <c r="C195" s="374"/>
      <c r="D195" s="368"/>
      <c r="E195" s="375"/>
      <c r="F195" s="375"/>
      <c r="G195" s="375"/>
      <c r="H195" s="375"/>
      <c r="I195" s="375"/>
      <c r="J195" s="375"/>
      <c r="K195" s="375"/>
      <c r="L195" s="375"/>
      <c r="M195" s="375"/>
    </row>
    <row r="196" spans="1:13" ht="16.5">
      <c r="A196" s="368"/>
      <c r="B196" s="373"/>
      <c r="C196" s="374"/>
      <c r="D196" s="368"/>
      <c r="E196" s="375"/>
      <c r="F196" s="375"/>
      <c r="G196" s="375"/>
      <c r="H196" s="375"/>
      <c r="I196" s="375"/>
      <c r="J196" s="375"/>
      <c r="K196" s="375"/>
      <c r="L196" s="375"/>
      <c r="M196" s="375"/>
    </row>
    <row r="197" spans="1:13" ht="16.5">
      <c r="A197" s="368"/>
      <c r="B197" s="373"/>
      <c r="C197" s="374"/>
      <c r="D197" s="368"/>
      <c r="E197" s="375"/>
      <c r="F197" s="375"/>
      <c r="G197" s="375"/>
      <c r="H197" s="375"/>
      <c r="I197" s="375"/>
      <c r="J197" s="375"/>
      <c r="K197" s="375"/>
      <c r="L197" s="375"/>
      <c r="M197" s="375"/>
    </row>
    <row r="198" spans="1:13" ht="16.5">
      <c r="A198" s="368"/>
      <c r="B198" s="373"/>
      <c r="C198" s="374"/>
      <c r="D198" s="368"/>
      <c r="E198" s="375"/>
      <c r="F198" s="375"/>
      <c r="G198" s="375"/>
      <c r="H198" s="375"/>
      <c r="I198" s="375"/>
      <c r="J198" s="375"/>
      <c r="K198" s="375"/>
      <c r="L198" s="375"/>
      <c r="M198" s="375"/>
    </row>
    <row r="199" spans="1:13" ht="16.5">
      <c r="A199" s="368"/>
      <c r="B199" s="373"/>
      <c r="C199" s="374"/>
      <c r="D199" s="368"/>
      <c r="E199" s="375"/>
      <c r="F199" s="375"/>
      <c r="G199" s="375"/>
      <c r="H199" s="375"/>
      <c r="I199" s="375"/>
      <c r="J199" s="375"/>
      <c r="K199" s="375"/>
      <c r="L199" s="375"/>
      <c r="M199" s="375"/>
    </row>
    <row r="200" spans="1:13" ht="16.5">
      <c r="A200" s="368"/>
      <c r="B200" s="373"/>
      <c r="C200" s="374"/>
      <c r="D200" s="368"/>
      <c r="E200" s="375"/>
      <c r="F200" s="375"/>
      <c r="G200" s="375"/>
      <c r="H200" s="375"/>
      <c r="I200" s="375"/>
      <c r="J200" s="375"/>
      <c r="K200" s="375"/>
      <c r="L200" s="375"/>
      <c r="M200" s="375"/>
    </row>
    <row r="201" spans="1:13" ht="16.5">
      <c r="A201" s="368"/>
      <c r="B201" s="373"/>
      <c r="C201" s="374"/>
      <c r="D201" s="368"/>
      <c r="E201" s="375"/>
      <c r="F201" s="375"/>
      <c r="G201" s="375"/>
      <c r="H201" s="375"/>
      <c r="I201" s="375"/>
      <c r="J201" s="375"/>
      <c r="K201" s="375"/>
      <c r="L201" s="375"/>
      <c r="M201" s="375"/>
    </row>
    <row r="202" spans="1:13" ht="16.5">
      <c r="A202" s="368"/>
      <c r="B202" s="373"/>
      <c r="C202" s="374"/>
      <c r="D202" s="368"/>
      <c r="E202" s="375"/>
      <c r="F202" s="375"/>
      <c r="G202" s="375"/>
      <c r="H202" s="375"/>
      <c r="I202" s="375"/>
      <c r="J202" s="375"/>
      <c r="K202" s="375"/>
      <c r="L202" s="375"/>
      <c r="M202" s="375"/>
    </row>
    <row r="203" spans="1:13" ht="16.5">
      <c r="A203" s="368"/>
      <c r="B203" s="373"/>
      <c r="C203" s="374"/>
      <c r="D203" s="368"/>
      <c r="E203" s="375"/>
      <c r="F203" s="375"/>
      <c r="G203" s="375"/>
      <c r="H203" s="375"/>
      <c r="I203" s="375"/>
      <c r="J203" s="375"/>
      <c r="K203" s="375"/>
      <c r="L203" s="375"/>
      <c r="M203" s="375"/>
    </row>
    <row r="204" spans="1:13" ht="16.5">
      <c r="A204" s="368"/>
      <c r="B204" s="373"/>
      <c r="C204" s="374"/>
      <c r="D204" s="368"/>
      <c r="E204" s="375"/>
      <c r="F204" s="375"/>
      <c r="G204" s="375"/>
      <c r="H204" s="375"/>
      <c r="I204" s="375"/>
      <c r="J204" s="375"/>
      <c r="K204" s="375"/>
      <c r="L204" s="375"/>
      <c r="M204" s="375"/>
    </row>
    <row r="205" spans="1:13" ht="16.5">
      <c r="A205" s="368"/>
      <c r="B205" s="373"/>
      <c r="C205" s="374"/>
      <c r="D205" s="368"/>
      <c r="E205" s="375"/>
      <c r="F205" s="375"/>
      <c r="G205" s="375"/>
      <c r="H205" s="375"/>
      <c r="I205" s="375"/>
      <c r="J205" s="375"/>
      <c r="K205" s="375"/>
      <c r="L205" s="375"/>
      <c r="M205" s="375"/>
    </row>
    <row r="206" spans="1:13" ht="16.5">
      <c r="A206" s="368"/>
      <c r="B206" s="373"/>
      <c r="C206" s="374"/>
      <c r="D206" s="368"/>
      <c r="E206" s="375"/>
      <c r="F206" s="375"/>
      <c r="G206" s="375"/>
      <c r="H206" s="375"/>
      <c r="I206" s="375"/>
      <c r="J206" s="375"/>
      <c r="K206" s="375"/>
      <c r="L206" s="375"/>
      <c r="M206" s="375"/>
    </row>
    <row r="207" spans="1:13" ht="16.5">
      <c r="A207" s="368"/>
      <c r="B207" s="373"/>
      <c r="C207" s="374"/>
      <c r="D207" s="368"/>
      <c r="E207" s="375"/>
      <c r="F207" s="375"/>
      <c r="G207" s="375"/>
      <c r="H207" s="375"/>
      <c r="I207" s="375"/>
      <c r="J207" s="375"/>
      <c r="K207" s="375"/>
      <c r="L207" s="375"/>
      <c r="M207" s="375"/>
    </row>
    <row r="208" spans="1:13" ht="16.5">
      <c r="A208" s="368"/>
      <c r="B208" s="373"/>
      <c r="C208" s="374"/>
      <c r="D208" s="368"/>
      <c r="E208" s="375"/>
      <c r="F208" s="375"/>
      <c r="G208" s="375"/>
      <c r="H208" s="375"/>
      <c r="I208" s="375"/>
      <c r="J208" s="375"/>
      <c r="K208" s="375"/>
      <c r="L208" s="375"/>
      <c r="M208" s="375"/>
    </row>
    <row r="209" spans="1:13" ht="16.5">
      <c r="A209" s="368"/>
      <c r="B209" s="373"/>
      <c r="C209" s="374"/>
      <c r="D209" s="368"/>
      <c r="E209" s="375"/>
      <c r="F209" s="375"/>
      <c r="G209" s="375"/>
      <c r="H209" s="375"/>
      <c r="I209" s="375"/>
      <c r="J209" s="375"/>
      <c r="K209" s="375"/>
      <c r="L209" s="375"/>
      <c r="M209" s="375"/>
    </row>
    <row r="210" spans="1:13" ht="16.5">
      <c r="A210" s="368"/>
      <c r="B210" s="373"/>
      <c r="C210" s="374"/>
      <c r="D210" s="368"/>
      <c r="E210" s="375"/>
      <c r="F210" s="375"/>
      <c r="G210" s="375"/>
      <c r="H210" s="375"/>
      <c r="I210" s="375"/>
      <c r="J210" s="375"/>
      <c r="K210" s="375"/>
      <c r="L210" s="375"/>
      <c r="M210" s="375"/>
    </row>
    <row r="211" spans="1:13" ht="16.5">
      <c r="A211" s="368"/>
      <c r="B211" s="373"/>
      <c r="C211" s="374"/>
      <c r="D211" s="368"/>
      <c r="E211" s="375"/>
      <c r="F211" s="375"/>
      <c r="G211" s="375"/>
      <c r="H211" s="375"/>
      <c r="I211" s="375"/>
      <c r="J211" s="375"/>
      <c r="K211" s="375"/>
      <c r="L211" s="375"/>
      <c r="M211" s="375"/>
    </row>
    <row r="212" spans="1:13" ht="16.5">
      <c r="A212" s="368"/>
      <c r="B212" s="373"/>
      <c r="C212" s="374"/>
      <c r="D212" s="368"/>
      <c r="E212" s="375"/>
      <c r="F212" s="375"/>
      <c r="G212" s="375"/>
      <c r="H212" s="375"/>
      <c r="I212" s="375"/>
      <c r="J212" s="375"/>
      <c r="K212" s="375"/>
      <c r="L212" s="375"/>
      <c r="M212" s="375"/>
    </row>
    <row r="213" spans="1:13" ht="16.5">
      <c r="A213" s="368"/>
      <c r="B213" s="373"/>
      <c r="C213" s="374"/>
      <c r="D213" s="368"/>
      <c r="E213" s="375"/>
      <c r="F213" s="375"/>
      <c r="G213" s="375"/>
      <c r="H213" s="375"/>
      <c r="I213" s="375"/>
      <c r="J213" s="375"/>
      <c r="K213" s="375"/>
      <c r="L213" s="375"/>
      <c r="M213" s="375"/>
    </row>
    <row r="214" spans="1:13" ht="16.5">
      <c r="A214" s="368"/>
      <c r="B214" s="373"/>
      <c r="C214" s="374"/>
      <c r="D214" s="368"/>
      <c r="E214" s="375"/>
      <c r="F214" s="375"/>
      <c r="G214" s="375"/>
      <c r="H214" s="375"/>
      <c r="I214" s="375"/>
      <c r="J214" s="375"/>
      <c r="K214" s="375"/>
      <c r="L214" s="375"/>
      <c r="M214" s="375"/>
    </row>
    <row r="215" spans="1:13" ht="16.5">
      <c r="A215" s="368"/>
      <c r="B215" s="373"/>
      <c r="C215" s="374"/>
      <c r="D215" s="368"/>
      <c r="E215" s="375"/>
      <c r="F215" s="375"/>
      <c r="G215" s="375"/>
      <c r="H215" s="375"/>
      <c r="I215" s="375"/>
      <c r="J215" s="375"/>
      <c r="K215" s="375"/>
      <c r="L215" s="375"/>
      <c r="M215" s="375"/>
    </row>
    <row r="216" spans="1:13" ht="16.5">
      <c r="A216" s="368"/>
      <c r="B216" s="373"/>
      <c r="C216" s="374"/>
      <c r="D216" s="368"/>
      <c r="E216" s="375"/>
      <c r="F216" s="375"/>
      <c r="G216" s="375"/>
      <c r="H216" s="375"/>
      <c r="I216" s="375"/>
      <c r="J216" s="375"/>
      <c r="K216" s="375"/>
      <c r="L216" s="375"/>
      <c r="M216" s="375"/>
    </row>
    <row r="217" spans="1:13" ht="16.5">
      <c r="A217" s="368"/>
      <c r="B217" s="373"/>
      <c r="C217" s="374"/>
      <c r="D217" s="368"/>
      <c r="E217" s="375"/>
      <c r="F217" s="375"/>
      <c r="G217" s="375"/>
      <c r="H217" s="375"/>
      <c r="I217" s="375"/>
      <c r="J217" s="375"/>
      <c r="K217" s="375"/>
      <c r="L217" s="375"/>
      <c r="M217" s="375"/>
    </row>
    <row r="218" spans="1:13" ht="16.5">
      <c r="A218" s="368"/>
      <c r="B218" s="373"/>
      <c r="C218" s="374"/>
      <c r="D218" s="368"/>
      <c r="E218" s="375"/>
      <c r="F218" s="375"/>
      <c r="G218" s="375"/>
      <c r="H218" s="375"/>
      <c r="I218" s="375"/>
      <c r="J218" s="375"/>
      <c r="K218" s="375"/>
      <c r="L218" s="375"/>
      <c r="M218" s="375"/>
    </row>
    <row r="219" spans="1:13" ht="16.5">
      <c r="A219" s="368"/>
      <c r="B219" s="373"/>
      <c r="C219" s="374"/>
      <c r="D219" s="368"/>
      <c r="E219" s="375"/>
      <c r="F219" s="375"/>
      <c r="G219" s="375"/>
      <c r="H219" s="375"/>
      <c r="I219" s="375"/>
      <c r="J219" s="375"/>
      <c r="K219" s="375"/>
      <c r="L219" s="375"/>
      <c r="M219" s="375"/>
    </row>
    <row r="220" spans="1:13" ht="16.5">
      <c r="A220" s="368"/>
      <c r="B220" s="373"/>
      <c r="C220" s="374"/>
      <c r="D220" s="368"/>
      <c r="E220" s="375"/>
      <c r="F220" s="375"/>
      <c r="G220" s="375"/>
      <c r="H220" s="375"/>
      <c r="I220" s="375"/>
      <c r="J220" s="375"/>
      <c r="K220" s="375"/>
      <c r="L220" s="375"/>
      <c r="M220" s="375"/>
    </row>
    <row r="221" spans="1:13" ht="16.5">
      <c r="A221" s="368"/>
      <c r="B221" s="373"/>
      <c r="C221" s="374"/>
      <c r="D221" s="368"/>
      <c r="E221" s="375"/>
      <c r="F221" s="375"/>
      <c r="G221" s="375"/>
      <c r="H221" s="375"/>
      <c r="I221" s="375"/>
      <c r="J221" s="375"/>
      <c r="K221" s="375"/>
      <c r="L221" s="375"/>
      <c r="M221" s="375"/>
    </row>
    <row r="222" spans="1:13" ht="16.5">
      <c r="A222" s="368"/>
      <c r="B222" s="373"/>
      <c r="C222" s="374"/>
      <c r="D222" s="368"/>
      <c r="E222" s="375"/>
      <c r="F222" s="375"/>
      <c r="G222" s="375"/>
      <c r="H222" s="375"/>
      <c r="I222" s="375"/>
      <c r="J222" s="375"/>
      <c r="K222" s="375"/>
      <c r="L222" s="375"/>
      <c r="M222" s="375"/>
    </row>
    <row r="223" spans="1:13" ht="16.5">
      <c r="A223" s="368"/>
      <c r="B223" s="373"/>
      <c r="C223" s="374"/>
      <c r="D223" s="368"/>
      <c r="E223" s="375"/>
      <c r="F223" s="375"/>
      <c r="G223" s="375"/>
      <c r="H223" s="375"/>
      <c r="I223" s="375"/>
      <c r="J223" s="375"/>
      <c r="K223" s="375"/>
      <c r="L223" s="375"/>
      <c r="M223" s="375"/>
    </row>
    <row r="224" spans="1:13" ht="16.5">
      <c r="A224" s="368"/>
      <c r="B224" s="373"/>
      <c r="C224" s="374"/>
      <c r="D224" s="368"/>
      <c r="E224" s="375"/>
      <c r="F224" s="375"/>
      <c r="G224" s="375"/>
      <c r="H224" s="375"/>
      <c r="I224" s="375"/>
      <c r="J224" s="375"/>
      <c r="K224" s="375"/>
      <c r="L224" s="375"/>
      <c r="M224" s="375"/>
    </row>
    <row r="225" spans="1:13" ht="16.5">
      <c r="A225" s="368"/>
      <c r="B225" s="373"/>
      <c r="C225" s="374"/>
      <c r="D225" s="368"/>
      <c r="E225" s="375"/>
      <c r="F225" s="375"/>
      <c r="G225" s="375"/>
      <c r="H225" s="375"/>
      <c r="I225" s="375"/>
      <c r="J225" s="375"/>
      <c r="K225" s="375"/>
      <c r="L225" s="375"/>
      <c r="M225" s="375"/>
    </row>
    <row r="226" spans="1:13" ht="16.5">
      <c r="A226" s="368"/>
      <c r="B226" s="373"/>
      <c r="C226" s="374"/>
      <c r="D226" s="368"/>
      <c r="E226" s="375"/>
      <c r="F226" s="375"/>
      <c r="G226" s="375"/>
      <c r="H226" s="375"/>
      <c r="I226" s="375"/>
      <c r="J226" s="375"/>
      <c r="K226" s="375"/>
      <c r="L226" s="375"/>
      <c r="M226" s="375"/>
    </row>
    <row r="227" spans="1:13" ht="16.5">
      <c r="A227" s="368"/>
      <c r="B227" s="373"/>
      <c r="C227" s="374"/>
      <c r="D227" s="368"/>
      <c r="E227" s="375"/>
      <c r="F227" s="375"/>
      <c r="G227" s="375"/>
      <c r="H227" s="375"/>
      <c r="I227" s="375"/>
      <c r="J227" s="375"/>
      <c r="K227" s="375"/>
      <c r="L227" s="375"/>
      <c r="M227" s="375"/>
    </row>
    <row r="228" spans="1:13" ht="16.5">
      <c r="A228" s="368"/>
      <c r="B228" s="373"/>
      <c r="C228" s="374"/>
      <c r="D228" s="368"/>
      <c r="E228" s="375"/>
      <c r="F228" s="375"/>
      <c r="G228" s="375"/>
      <c r="H228" s="375"/>
      <c r="I228" s="375"/>
      <c r="J228" s="375"/>
      <c r="K228" s="375"/>
      <c r="L228" s="375"/>
      <c r="M228" s="375"/>
    </row>
    <row r="229" spans="1:13" ht="16.5">
      <c r="A229" s="368"/>
      <c r="B229" s="373"/>
      <c r="C229" s="374"/>
      <c r="D229" s="368"/>
      <c r="E229" s="375"/>
      <c r="F229" s="375"/>
      <c r="G229" s="375"/>
      <c r="H229" s="375"/>
      <c r="I229" s="375"/>
      <c r="J229" s="375"/>
      <c r="K229" s="375"/>
      <c r="L229" s="375"/>
      <c r="M229" s="375"/>
    </row>
    <row r="230" spans="1:13" ht="16.5">
      <c r="A230" s="368"/>
      <c r="B230" s="373"/>
      <c r="C230" s="374"/>
      <c r="D230" s="368"/>
      <c r="E230" s="375"/>
      <c r="F230" s="375"/>
      <c r="G230" s="375"/>
      <c r="H230" s="375"/>
      <c r="I230" s="375"/>
      <c r="J230" s="375"/>
      <c r="K230" s="375"/>
      <c r="L230" s="375"/>
      <c r="M230" s="375"/>
    </row>
    <row r="231" spans="1:13" ht="16.5">
      <c r="A231" s="368"/>
      <c r="B231" s="373"/>
      <c r="C231" s="374"/>
      <c r="D231" s="368"/>
      <c r="E231" s="375"/>
      <c r="F231" s="375"/>
      <c r="G231" s="375"/>
      <c r="H231" s="375"/>
      <c r="I231" s="375"/>
      <c r="J231" s="375"/>
      <c r="K231" s="375"/>
      <c r="L231" s="375"/>
      <c r="M231" s="375"/>
    </row>
    <row r="232" spans="1:13" ht="16.5">
      <c r="A232" s="368"/>
      <c r="B232" s="373"/>
      <c r="C232" s="374"/>
      <c r="D232" s="368"/>
      <c r="E232" s="375"/>
      <c r="F232" s="375"/>
      <c r="G232" s="375"/>
      <c r="H232" s="375"/>
      <c r="I232" s="375"/>
      <c r="J232" s="375"/>
      <c r="K232" s="375"/>
      <c r="L232" s="375"/>
      <c r="M232" s="375"/>
    </row>
    <row r="233" spans="1:13" ht="16.5">
      <c r="A233" s="368"/>
      <c r="B233" s="373"/>
      <c r="C233" s="374"/>
      <c r="D233" s="368"/>
      <c r="E233" s="375"/>
      <c r="F233" s="375"/>
      <c r="G233" s="375"/>
      <c r="H233" s="375"/>
      <c r="I233" s="375"/>
      <c r="J233" s="375"/>
      <c r="K233" s="375"/>
      <c r="L233" s="375"/>
      <c r="M233" s="375"/>
    </row>
    <row r="234" spans="1:13" ht="16.5">
      <c r="A234" s="368"/>
      <c r="B234" s="373"/>
      <c r="C234" s="374"/>
      <c r="D234" s="368"/>
      <c r="E234" s="375"/>
      <c r="F234" s="375"/>
      <c r="G234" s="375"/>
      <c r="H234" s="375"/>
      <c r="I234" s="375"/>
      <c r="J234" s="375"/>
      <c r="K234" s="375"/>
      <c r="L234" s="375"/>
      <c r="M234" s="375"/>
    </row>
    <row r="235" spans="1:13" ht="16.5">
      <c r="A235" s="368"/>
      <c r="B235" s="373"/>
      <c r="C235" s="374"/>
      <c r="D235" s="368"/>
      <c r="E235" s="375"/>
      <c r="F235" s="375"/>
      <c r="G235" s="375"/>
      <c r="H235" s="375"/>
      <c r="I235" s="375"/>
      <c r="J235" s="375"/>
      <c r="K235" s="375"/>
      <c r="L235" s="375"/>
      <c r="M235" s="375"/>
    </row>
    <row r="236" spans="1:13" ht="16.5">
      <c r="A236" s="368"/>
      <c r="B236" s="373"/>
      <c r="C236" s="374"/>
      <c r="D236" s="368"/>
      <c r="E236" s="375"/>
      <c r="F236" s="375"/>
      <c r="G236" s="375"/>
      <c r="H236" s="375"/>
      <c r="I236" s="375"/>
      <c r="J236" s="375"/>
      <c r="K236" s="375"/>
      <c r="L236" s="375"/>
      <c r="M236" s="375"/>
    </row>
    <row r="237" spans="1:13" ht="16.5">
      <c r="A237" s="368"/>
      <c r="B237" s="373"/>
      <c r="C237" s="374"/>
      <c r="D237" s="368"/>
      <c r="E237" s="375"/>
      <c r="F237" s="375"/>
      <c r="G237" s="375"/>
      <c r="H237" s="375"/>
      <c r="I237" s="375"/>
      <c r="J237" s="375"/>
      <c r="K237" s="375"/>
      <c r="L237" s="375"/>
      <c r="M237" s="375"/>
    </row>
    <row r="238" spans="1:13" ht="16.5">
      <c r="A238" s="368"/>
      <c r="B238" s="373"/>
      <c r="C238" s="374"/>
      <c r="D238" s="368"/>
      <c r="E238" s="375"/>
      <c r="F238" s="375"/>
      <c r="G238" s="375"/>
      <c r="H238" s="375"/>
      <c r="I238" s="375"/>
      <c r="J238" s="375"/>
      <c r="K238" s="375"/>
      <c r="L238" s="375"/>
      <c r="M238" s="375"/>
    </row>
    <row r="239" spans="1:13" ht="16.5">
      <c r="A239" s="368"/>
      <c r="B239" s="373"/>
      <c r="C239" s="374"/>
      <c r="D239" s="368"/>
      <c r="E239" s="375"/>
      <c r="F239" s="375"/>
      <c r="G239" s="375"/>
      <c r="H239" s="375"/>
      <c r="I239" s="375"/>
      <c r="J239" s="375"/>
      <c r="K239" s="375"/>
      <c r="L239" s="375"/>
      <c r="M239" s="375"/>
    </row>
    <row r="240" spans="1:13" ht="16.5">
      <c r="A240" s="368"/>
      <c r="B240" s="373"/>
      <c r="C240" s="374"/>
      <c r="D240" s="368"/>
      <c r="E240" s="375"/>
      <c r="F240" s="375"/>
      <c r="G240" s="375"/>
      <c r="H240" s="375"/>
      <c r="I240" s="375"/>
      <c r="J240" s="375"/>
      <c r="K240" s="375"/>
      <c r="L240" s="375"/>
      <c r="M240" s="375"/>
    </row>
    <row r="241" spans="1:13" ht="16.5">
      <c r="A241" s="368"/>
      <c r="B241" s="373"/>
      <c r="C241" s="374"/>
      <c r="D241" s="368"/>
      <c r="E241" s="375"/>
      <c r="F241" s="375"/>
      <c r="G241" s="375"/>
      <c r="H241" s="375"/>
      <c r="I241" s="375"/>
      <c r="J241" s="375"/>
      <c r="K241" s="375"/>
      <c r="L241" s="375"/>
      <c r="M241" s="375"/>
    </row>
    <row r="242" spans="1:13" ht="16.5">
      <c r="A242" s="368"/>
      <c r="B242" s="373"/>
      <c r="C242" s="374"/>
      <c r="D242" s="368"/>
      <c r="E242" s="375"/>
      <c r="F242" s="375"/>
      <c r="G242" s="375"/>
      <c r="H242" s="375"/>
      <c r="I242" s="375"/>
      <c r="J242" s="375"/>
      <c r="K242" s="375"/>
      <c r="L242" s="375"/>
      <c r="M242" s="375"/>
    </row>
    <row r="243" spans="1:13" ht="16.5">
      <c r="A243" s="368"/>
      <c r="B243" s="373"/>
      <c r="C243" s="374"/>
      <c r="D243" s="368"/>
      <c r="E243" s="375"/>
      <c r="F243" s="375"/>
      <c r="G243" s="375"/>
      <c r="H243" s="375"/>
      <c r="I243" s="375"/>
      <c r="J243" s="375"/>
      <c r="K243" s="375"/>
      <c r="L243" s="375"/>
      <c r="M243" s="375"/>
    </row>
    <row r="244" spans="1:13" ht="16.5">
      <c r="A244" s="368"/>
      <c r="B244" s="373"/>
      <c r="C244" s="374"/>
      <c r="D244" s="368"/>
      <c r="E244" s="375"/>
      <c r="F244" s="375"/>
      <c r="G244" s="375"/>
      <c r="H244" s="375"/>
      <c r="I244" s="375"/>
      <c r="J244" s="375"/>
      <c r="K244" s="375"/>
      <c r="L244" s="375"/>
      <c r="M244" s="375"/>
    </row>
    <row r="245" spans="1:13" ht="16.5">
      <c r="A245" s="368"/>
      <c r="B245" s="373"/>
      <c r="C245" s="374"/>
      <c r="D245" s="368"/>
      <c r="E245" s="375"/>
      <c r="F245" s="375"/>
      <c r="G245" s="375"/>
      <c r="H245" s="375"/>
      <c r="I245" s="375"/>
      <c r="J245" s="375"/>
      <c r="K245" s="375"/>
      <c r="L245" s="375"/>
      <c r="M245" s="375"/>
    </row>
    <row r="246" spans="1:13" ht="16.5">
      <c r="A246" s="368"/>
      <c r="B246" s="373"/>
      <c r="C246" s="374"/>
      <c r="D246" s="368"/>
      <c r="E246" s="375"/>
      <c r="F246" s="375"/>
      <c r="G246" s="375"/>
      <c r="H246" s="375"/>
      <c r="I246" s="375"/>
      <c r="J246" s="375"/>
      <c r="K246" s="375"/>
      <c r="L246" s="375"/>
      <c r="M246" s="375"/>
    </row>
    <row r="247" spans="1:13" ht="16.5">
      <c r="A247" s="368"/>
      <c r="B247" s="373"/>
      <c r="C247" s="374"/>
      <c r="D247" s="368"/>
      <c r="E247" s="375"/>
      <c r="F247" s="375"/>
      <c r="G247" s="375"/>
      <c r="H247" s="375"/>
      <c r="I247" s="375"/>
      <c r="J247" s="375"/>
      <c r="K247" s="375"/>
      <c r="L247" s="375"/>
      <c r="M247" s="375"/>
    </row>
    <row r="248" spans="1:13" ht="16.5">
      <c r="A248" s="368"/>
      <c r="B248" s="373"/>
      <c r="C248" s="374"/>
      <c r="D248" s="368"/>
      <c r="E248" s="375"/>
      <c r="F248" s="375"/>
      <c r="G248" s="375"/>
      <c r="H248" s="375"/>
      <c r="I248" s="375"/>
      <c r="J248" s="375"/>
      <c r="K248" s="375"/>
      <c r="L248" s="375"/>
      <c r="M248" s="375"/>
    </row>
    <row r="249" spans="1:13" ht="16.5">
      <c r="A249" s="368"/>
      <c r="B249" s="373"/>
      <c r="C249" s="374"/>
      <c r="D249" s="368"/>
      <c r="E249" s="375"/>
      <c r="F249" s="375"/>
      <c r="G249" s="375"/>
      <c r="H249" s="375"/>
      <c r="I249" s="375"/>
      <c r="J249" s="375"/>
      <c r="K249" s="375"/>
      <c r="L249" s="375"/>
      <c r="M249" s="375"/>
    </row>
    <row r="250" spans="1:13" ht="16.5">
      <c r="A250" s="368"/>
      <c r="B250" s="373"/>
      <c r="C250" s="374"/>
      <c r="D250" s="368"/>
      <c r="E250" s="375"/>
      <c r="F250" s="375"/>
      <c r="G250" s="375"/>
      <c r="H250" s="375"/>
      <c r="I250" s="375"/>
      <c r="J250" s="375"/>
      <c r="K250" s="375"/>
      <c r="L250" s="375"/>
      <c r="M250" s="375"/>
    </row>
    <row r="251" spans="1:13" ht="16.5">
      <c r="A251" s="368"/>
      <c r="B251" s="373"/>
      <c r="C251" s="374"/>
      <c r="D251" s="368"/>
      <c r="E251" s="375"/>
      <c r="F251" s="375"/>
      <c r="G251" s="375"/>
      <c r="H251" s="375"/>
      <c r="I251" s="375"/>
      <c r="J251" s="375"/>
      <c r="K251" s="375"/>
      <c r="L251" s="375"/>
      <c r="M251" s="375"/>
    </row>
    <row r="252" spans="1:13" ht="16.5">
      <c r="A252" s="368"/>
      <c r="B252" s="373"/>
      <c r="C252" s="374"/>
      <c r="D252" s="368"/>
      <c r="E252" s="375"/>
      <c r="F252" s="375"/>
      <c r="G252" s="375"/>
      <c r="H252" s="375"/>
      <c r="I252" s="375"/>
      <c r="J252" s="375"/>
      <c r="K252" s="375"/>
      <c r="L252" s="375"/>
      <c r="M252" s="375"/>
    </row>
    <row r="253" spans="1:13" ht="16.5">
      <c r="A253" s="368"/>
      <c r="B253" s="373"/>
      <c r="C253" s="374"/>
      <c r="D253" s="368"/>
      <c r="E253" s="375"/>
      <c r="F253" s="375"/>
      <c r="G253" s="375"/>
      <c r="H253" s="375"/>
      <c r="I253" s="375"/>
      <c r="J253" s="375"/>
      <c r="K253" s="375"/>
      <c r="L253" s="375"/>
      <c r="M253" s="375"/>
    </row>
    <row r="254" spans="1:13" ht="16.5">
      <c r="A254" s="368"/>
      <c r="B254" s="373"/>
      <c r="C254" s="374"/>
      <c r="D254" s="368"/>
      <c r="E254" s="375"/>
      <c r="F254" s="375"/>
      <c r="G254" s="375"/>
      <c r="H254" s="375"/>
      <c r="I254" s="375"/>
      <c r="J254" s="375"/>
      <c r="K254" s="375"/>
      <c r="L254" s="375"/>
      <c r="M254" s="375"/>
    </row>
    <row r="255" spans="1:13" ht="16.5">
      <c r="A255" s="368"/>
      <c r="B255" s="373"/>
      <c r="C255" s="374"/>
      <c r="D255" s="368"/>
      <c r="E255" s="375"/>
      <c r="F255" s="375"/>
      <c r="G255" s="375"/>
      <c r="H255" s="375"/>
      <c r="I255" s="375"/>
      <c r="J255" s="375"/>
      <c r="K255" s="375"/>
      <c r="L255" s="375"/>
      <c r="M255" s="375"/>
    </row>
    <row r="256" spans="1:13" ht="16.5">
      <c r="A256" s="368"/>
      <c r="B256" s="373"/>
      <c r="C256" s="374"/>
      <c r="D256" s="368"/>
      <c r="E256" s="375"/>
      <c r="F256" s="375"/>
      <c r="G256" s="375"/>
      <c r="H256" s="375"/>
      <c r="I256" s="375"/>
      <c r="J256" s="375"/>
      <c r="K256" s="375"/>
      <c r="L256" s="375"/>
      <c r="M256" s="375"/>
    </row>
    <row r="257" spans="1:13" ht="16.5">
      <c r="A257" s="368"/>
      <c r="B257" s="373"/>
      <c r="C257" s="374"/>
      <c r="D257" s="368"/>
      <c r="E257" s="375"/>
      <c r="F257" s="375"/>
      <c r="G257" s="375"/>
      <c r="H257" s="375"/>
      <c r="I257" s="375"/>
      <c r="J257" s="375"/>
      <c r="K257" s="375"/>
      <c r="L257" s="375"/>
      <c r="M257" s="375"/>
    </row>
    <row r="258" spans="1:13" ht="16.5">
      <c r="A258" s="368"/>
      <c r="B258" s="373"/>
      <c r="C258" s="374"/>
      <c r="D258" s="368"/>
      <c r="E258" s="375"/>
      <c r="F258" s="375"/>
      <c r="G258" s="375"/>
      <c r="H258" s="375"/>
      <c r="I258" s="375"/>
      <c r="J258" s="375"/>
      <c r="K258" s="375"/>
      <c r="L258" s="375"/>
      <c r="M258" s="375"/>
    </row>
    <row r="259" spans="1:13" ht="16.5">
      <c r="A259" s="368"/>
      <c r="B259" s="373"/>
      <c r="C259" s="374"/>
      <c r="D259" s="368"/>
      <c r="E259" s="375"/>
      <c r="F259" s="375"/>
      <c r="G259" s="375"/>
      <c r="H259" s="375"/>
      <c r="I259" s="375"/>
      <c r="J259" s="375"/>
      <c r="K259" s="375"/>
      <c r="L259" s="375"/>
      <c r="M259" s="375"/>
    </row>
    <row r="260" spans="1:13" ht="16.5">
      <c r="A260" s="368"/>
      <c r="B260" s="373"/>
      <c r="C260" s="374"/>
      <c r="D260" s="368"/>
      <c r="E260" s="375"/>
      <c r="F260" s="375"/>
      <c r="G260" s="375"/>
      <c r="H260" s="375"/>
      <c r="I260" s="375"/>
      <c r="J260" s="375"/>
      <c r="K260" s="375"/>
      <c r="L260" s="375"/>
      <c r="M260" s="375"/>
    </row>
    <row r="261" spans="1:13" ht="16.5">
      <c r="A261" s="368"/>
      <c r="B261" s="373"/>
      <c r="C261" s="374"/>
      <c r="D261" s="368"/>
      <c r="E261" s="375"/>
      <c r="F261" s="375"/>
      <c r="G261" s="375"/>
      <c r="H261" s="375"/>
      <c r="I261" s="375"/>
      <c r="J261" s="375"/>
      <c r="K261" s="375"/>
      <c r="L261" s="375"/>
      <c r="M261" s="375"/>
    </row>
  </sheetData>
  <mergeCells count="15">
    <mergeCell ref="A2:M2"/>
    <mergeCell ref="E4:E5"/>
    <mergeCell ref="F4:F5"/>
    <mergeCell ref="G4:H4"/>
    <mergeCell ref="A1:M1"/>
    <mergeCell ref="A3:A5"/>
    <mergeCell ref="B3:B5"/>
    <mergeCell ref="C3:C5"/>
    <mergeCell ref="D3:D5"/>
    <mergeCell ref="E3:H3"/>
    <mergeCell ref="I3:I5"/>
    <mergeCell ref="M3:M5"/>
    <mergeCell ref="K3:K5"/>
    <mergeCell ref="L3:L5"/>
    <mergeCell ref="J3:J5"/>
  </mergeCells>
  <printOptions horizontalCentered="1"/>
  <pageMargins left="0.11811023622047245" right="0.11811023622047245" top="0.39370078740157483" bottom="0.39370078740157483" header="0.19685039370078741" footer="0.19685039370078741"/>
  <pageSetup paperSize="9" fitToHeight="0" orientation="landscape" useFirstPageNumber="1" r:id="rId1"/>
  <headerFooter differentFirst="1"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Y74"/>
  <sheetViews>
    <sheetView workbookViewId="0">
      <selection activeCell="J18" sqref="J18"/>
    </sheetView>
  </sheetViews>
  <sheetFormatPr defaultColWidth="11.42578125" defaultRowHeight="16.5"/>
  <cols>
    <col min="1" max="1" width="31.42578125" style="155" customWidth="1"/>
    <col min="2" max="2" width="11.140625" style="155" customWidth="1"/>
    <col min="3" max="3" width="2.140625" style="155" customWidth="1"/>
    <col min="4" max="4" width="10.85546875" style="155" customWidth="1"/>
    <col min="5" max="9" width="13.42578125" style="155" hidden="1" customWidth="1"/>
    <col min="10" max="10" width="13.42578125" style="155" customWidth="1"/>
    <col min="11" max="11" width="11" style="155" customWidth="1"/>
    <col min="12" max="12" width="1.85546875" style="155" customWidth="1"/>
    <col min="13" max="13" width="9.85546875" style="155" customWidth="1"/>
    <col min="14" max="14" width="11" style="155" customWidth="1"/>
    <col min="15" max="15" width="2" style="155" customWidth="1"/>
    <col min="16" max="16" width="10.140625" style="155" customWidth="1"/>
    <col min="17" max="17" width="11.42578125" style="155" customWidth="1"/>
    <col min="18" max="18" width="1.85546875" style="155" customWidth="1"/>
    <col min="19" max="19" width="9.5703125" style="155" customWidth="1"/>
    <col min="20" max="20" width="11.140625" style="155" customWidth="1"/>
    <col min="21" max="21" width="1.42578125" style="155" customWidth="1"/>
    <col min="22" max="22" width="10.85546875" style="155" customWidth="1"/>
    <col min="23" max="16384" width="11.42578125" style="155"/>
  </cols>
  <sheetData>
    <row r="1" spans="1:25" ht="33.75" customHeight="1">
      <c r="H1" s="668"/>
      <c r="I1" s="668"/>
      <c r="V1" s="173" t="s">
        <v>273</v>
      </c>
      <c r="W1" s="192"/>
      <c r="X1" s="192"/>
      <c r="Y1" s="192"/>
    </row>
    <row r="2" spans="1:25" ht="30.75" customHeight="1">
      <c r="A2" s="670" t="s">
        <v>131</v>
      </c>
      <c r="B2" s="670"/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0"/>
      <c r="N2" s="670"/>
      <c r="O2" s="670"/>
      <c r="P2" s="670"/>
      <c r="Q2" s="670"/>
      <c r="R2" s="670"/>
      <c r="S2" s="670"/>
      <c r="T2" s="670"/>
    </row>
    <row r="3" spans="1:25" ht="14.25" customHeight="1">
      <c r="A3" s="141"/>
      <c r="B3" s="141"/>
      <c r="C3" s="141"/>
      <c r="D3" s="141"/>
      <c r="E3" s="141"/>
      <c r="F3" s="141"/>
      <c r="G3" s="141"/>
      <c r="H3" s="668"/>
      <c r="I3" s="668"/>
    </row>
    <row r="4" spans="1:25" ht="27" customHeight="1">
      <c r="A4" s="142"/>
      <c r="B4" s="142"/>
      <c r="C4" s="142"/>
      <c r="D4" s="142"/>
      <c r="E4" s="142"/>
      <c r="F4" s="142"/>
      <c r="G4" s="142"/>
      <c r="H4" s="669" t="s">
        <v>132</v>
      </c>
      <c r="I4" s="669"/>
      <c r="J4" s="669"/>
      <c r="K4" s="669"/>
      <c r="L4" s="669"/>
      <c r="M4" s="669"/>
      <c r="N4" s="669"/>
      <c r="O4" s="669"/>
      <c r="P4" s="669"/>
      <c r="Q4" s="669"/>
      <c r="R4" s="669"/>
      <c r="S4" s="669"/>
      <c r="T4" s="669"/>
    </row>
    <row r="5" spans="1:25" ht="43.5" customHeight="1">
      <c r="A5" s="156"/>
      <c r="B5" s="671" t="s">
        <v>133</v>
      </c>
      <c r="C5" s="672"/>
      <c r="D5" s="673"/>
      <c r="E5" s="143" t="s">
        <v>134</v>
      </c>
      <c r="F5" s="143" t="s">
        <v>135</v>
      </c>
      <c r="G5" s="143" t="s">
        <v>136</v>
      </c>
      <c r="H5" s="143" t="s">
        <v>137</v>
      </c>
      <c r="I5" s="143" t="s">
        <v>138</v>
      </c>
      <c r="J5" s="163" t="s">
        <v>211</v>
      </c>
      <c r="K5" s="671" t="s">
        <v>139</v>
      </c>
      <c r="L5" s="672"/>
      <c r="M5" s="673"/>
      <c r="N5" s="671" t="s">
        <v>140</v>
      </c>
      <c r="O5" s="672"/>
      <c r="P5" s="673"/>
      <c r="Q5" s="671" t="s">
        <v>141</v>
      </c>
      <c r="R5" s="672"/>
      <c r="S5" s="673"/>
      <c r="T5" s="671" t="s">
        <v>142</v>
      </c>
      <c r="U5" s="672"/>
      <c r="V5" s="673"/>
    </row>
    <row r="6" spans="1:25" s="167" customFormat="1" ht="36" hidden="1" customHeight="1">
      <c r="A6" s="164" t="s">
        <v>278</v>
      </c>
      <c r="B6" s="165"/>
      <c r="C6" s="165"/>
      <c r="D6" s="165"/>
      <c r="E6" s="165"/>
      <c r="F6" s="165"/>
      <c r="G6" s="165"/>
      <c r="H6" s="165"/>
      <c r="I6" s="165"/>
      <c r="J6" s="166"/>
      <c r="K6" s="165"/>
      <c r="L6" s="165"/>
      <c r="M6" s="165"/>
      <c r="N6" s="165"/>
      <c r="O6" s="165"/>
      <c r="P6" s="165"/>
      <c r="Q6" s="165"/>
      <c r="R6" s="165"/>
      <c r="S6" s="165"/>
      <c r="T6" s="176"/>
    </row>
    <row r="7" spans="1:25" s="148" customFormat="1" ht="24.75" customHeight="1">
      <c r="A7" s="144" t="s">
        <v>143</v>
      </c>
      <c r="B7" s="195" t="e">
        <f>+J7+K7+N7+Q7+T7</f>
        <v>#REF!</v>
      </c>
      <c r="C7" s="180" t="s">
        <v>281</v>
      </c>
      <c r="D7" s="197" t="e">
        <f>+B41</f>
        <v>#REF!</v>
      </c>
      <c r="E7" s="146"/>
      <c r="F7" s="147">
        <f>F8-F9</f>
        <v>-10360</v>
      </c>
      <c r="G7" s="147"/>
      <c r="H7" s="147">
        <f>H8-H9</f>
        <v>-14960</v>
      </c>
      <c r="I7" s="147">
        <f>I8-I9</f>
        <v>-14800</v>
      </c>
      <c r="J7" s="147" t="e">
        <f>+J8-J9</f>
        <v>#REF!</v>
      </c>
      <c r="K7" s="193" t="e">
        <f>+K8-K9</f>
        <v>#REF!</v>
      </c>
      <c r="L7" s="184" t="s">
        <v>281</v>
      </c>
      <c r="M7" s="199" t="e">
        <f>+K41</f>
        <v>#REF!</v>
      </c>
      <c r="N7" s="193" t="e">
        <f>+N8-N9</f>
        <v>#REF!</v>
      </c>
      <c r="O7" s="184" t="s">
        <v>281</v>
      </c>
      <c r="P7" s="199" t="e">
        <f>+N41</f>
        <v>#REF!</v>
      </c>
      <c r="Q7" s="193" t="e">
        <f>+Q8-Q9</f>
        <v>#REF!</v>
      </c>
      <c r="R7" s="184" t="s">
        <v>281</v>
      </c>
      <c r="S7" s="199" t="e">
        <f>+Q41</f>
        <v>#REF!</v>
      </c>
      <c r="T7" s="193" t="e">
        <f>+T8-T9</f>
        <v>#REF!</v>
      </c>
      <c r="U7" s="187" t="s">
        <v>281</v>
      </c>
      <c r="V7" s="199" t="e">
        <f>+T41</f>
        <v>#REF!</v>
      </c>
    </row>
    <row r="8" spans="1:25" s="159" customFormat="1" ht="24.75" customHeight="1">
      <c r="A8" s="157" t="s">
        <v>144</v>
      </c>
      <c r="B8" s="196" t="e">
        <f t="shared" ref="B8:B18" si="0">+J8+K8+N8+Q8+T8</f>
        <v>#REF!</v>
      </c>
      <c r="C8" s="181" t="s">
        <v>281</v>
      </c>
      <c r="D8" s="198" t="e">
        <f t="shared" ref="D8:D39" si="1">+B42</f>
        <v>#REF!</v>
      </c>
      <c r="E8" s="158"/>
      <c r="F8" s="152">
        <v>48561</v>
      </c>
      <c r="G8" s="152"/>
      <c r="H8" s="152">
        <v>64000</v>
      </c>
      <c r="I8" s="152">
        <v>76700</v>
      </c>
      <c r="J8" s="152" t="e">
        <f>+#REF!*1000</f>
        <v>#REF!</v>
      </c>
      <c r="K8" s="194" t="e">
        <f>+#REF!*1000</f>
        <v>#REF!</v>
      </c>
      <c r="L8" s="182" t="s">
        <v>281</v>
      </c>
      <c r="M8" s="200" t="e">
        <f t="shared" ref="M8:M39" si="2">+K42</f>
        <v>#REF!</v>
      </c>
      <c r="N8" s="194" t="e">
        <f>+#REF!*1000</f>
        <v>#REF!</v>
      </c>
      <c r="O8" s="182" t="s">
        <v>281</v>
      </c>
      <c r="P8" s="200" t="e">
        <f t="shared" ref="P8:P39" si="3">+N42</f>
        <v>#REF!</v>
      </c>
      <c r="Q8" s="194" t="e">
        <f>+#REF!*1000</f>
        <v>#REF!</v>
      </c>
      <c r="R8" s="182" t="s">
        <v>281</v>
      </c>
      <c r="S8" s="200" t="e">
        <f t="shared" ref="S8:S39" si="4">+Q42</f>
        <v>#REF!</v>
      </c>
      <c r="T8" s="194" t="e">
        <f>+#REF!*1000</f>
        <v>#REF!</v>
      </c>
      <c r="U8" s="188" t="s">
        <v>281</v>
      </c>
      <c r="V8" s="200" t="e">
        <f t="shared" ref="V8:V39" si="5">+T42</f>
        <v>#REF!</v>
      </c>
    </row>
    <row r="9" spans="1:25" s="159" customFormat="1" ht="24.75" customHeight="1">
      <c r="A9" s="157" t="s">
        <v>145</v>
      </c>
      <c r="B9" s="196" t="e">
        <f t="shared" si="0"/>
        <v>#REF!</v>
      </c>
      <c r="C9" s="181" t="s">
        <v>281</v>
      </c>
      <c r="D9" s="198" t="e">
        <f t="shared" si="1"/>
        <v>#REF!</v>
      </c>
      <c r="E9" s="158"/>
      <c r="F9" s="152">
        <v>58921</v>
      </c>
      <c r="G9" s="160"/>
      <c r="H9" s="160">
        <v>78960</v>
      </c>
      <c r="I9" s="160">
        <v>91500</v>
      </c>
      <c r="J9" s="152" t="e">
        <f>0.9*J10</f>
        <v>#REF!</v>
      </c>
      <c r="K9" s="194" t="e">
        <f>0.9*K10</f>
        <v>#REF!</v>
      </c>
      <c r="L9" s="182" t="s">
        <v>281</v>
      </c>
      <c r="M9" s="200" t="e">
        <f t="shared" si="2"/>
        <v>#REF!</v>
      </c>
      <c r="N9" s="194" t="e">
        <f>0.9*N10</f>
        <v>#REF!</v>
      </c>
      <c r="O9" s="182" t="s">
        <v>281</v>
      </c>
      <c r="P9" s="200" t="e">
        <f t="shared" si="3"/>
        <v>#REF!</v>
      </c>
      <c r="Q9" s="194" t="e">
        <f>0.9*Q10</f>
        <v>#REF!</v>
      </c>
      <c r="R9" s="182" t="s">
        <v>281</v>
      </c>
      <c r="S9" s="200" t="e">
        <f t="shared" si="4"/>
        <v>#REF!</v>
      </c>
      <c r="T9" s="194" t="e">
        <f>0.9*T10</f>
        <v>#REF!</v>
      </c>
      <c r="U9" s="188" t="s">
        <v>281</v>
      </c>
      <c r="V9" s="200" t="e">
        <f t="shared" si="5"/>
        <v>#REF!</v>
      </c>
    </row>
    <row r="10" spans="1:25" s="159" customFormat="1" ht="24.75" customHeight="1">
      <c r="A10" s="157" t="s">
        <v>146</v>
      </c>
      <c r="B10" s="196" t="e">
        <f t="shared" si="0"/>
        <v>#REF!</v>
      </c>
      <c r="C10" s="181" t="s">
        <v>281</v>
      </c>
      <c r="D10" s="198" t="e">
        <f t="shared" si="1"/>
        <v>#REF!</v>
      </c>
      <c r="E10" s="158"/>
      <c r="F10" s="152">
        <v>62682</v>
      </c>
      <c r="G10" s="160"/>
      <c r="H10" s="160">
        <v>84000</v>
      </c>
      <c r="I10" s="160">
        <v>97400</v>
      </c>
      <c r="J10" s="152" t="e">
        <f>+#REF!*1000</f>
        <v>#REF!</v>
      </c>
      <c r="K10" s="194" t="e">
        <f>+#REF!*1000</f>
        <v>#REF!</v>
      </c>
      <c r="L10" s="182" t="s">
        <v>281</v>
      </c>
      <c r="M10" s="200" t="e">
        <f t="shared" si="2"/>
        <v>#REF!</v>
      </c>
      <c r="N10" s="194" t="e">
        <f>+#REF!*1000</f>
        <v>#REF!</v>
      </c>
      <c r="O10" s="182" t="s">
        <v>281</v>
      </c>
      <c r="P10" s="200" t="e">
        <f t="shared" si="3"/>
        <v>#REF!</v>
      </c>
      <c r="Q10" s="194" t="e">
        <f>+#REF!*1000</f>
        <v>#REF!</v>
      </c>
      <c r="R10" s="182" t="s">
        <v>281</v>
      </c>
      <c r="S10" s="200" t="e">
        <f t="shared" si="4"/>
        <v>#REF!</v>
      </c>
      <c r="T10" s="194" t="e">
        <f>+#REF!*1000</f>
        <v>#REF!</v>
      </c>
      <c r="U10" s="188" t="s">
        <v>281</v>
      </c>
      <c r="V10" s="200" t="e">
        <f t="shared" si="5"/>
        <v>#REF!</v>
      </c>
    </row>
    <row r="11" spans="1:25" s="159" customFormat="1" ht="15" customHeight="1">
      <c r="A11" s="157"/>
      <c r="B11" s="178"/>
      <c r="C11" s="181"/>
      <c r="D11" s="174"/>
      <c r="E11" s="158"/>
      <c r="F11" s="152"/>
      <c r="G11" s="152"/>
      <c r="H11" s="152"/>
      <c r="I11" s="152"/>
      <c r="J11" s="152"/>
      <c r="K11" s="179"/>
      <c r="L11" s="182"/>
      <c r="M11" s="175"/>
      <c r="N11" s="179"/>
      <c r="O11" s="182"/>
      <c r="P11" s="175"/>
      <c r="Q11" s="179"/>
      <c r="R11" s="182"/>
      <c r="S11" s="175"/>
      <c r="T11" s="179"/>
      <c r="U11" s="188"/>
      <c r="V11" s="189"/>
    </row>
    <row r="12" spans="1:25" s="148" customFormat="1" ht="24.75" customHeight="1">
      <c r="A12" s="150" t="s">
        <v>147</v>
      </c>
      <c r="B12" s="662">
        <f t="shared" si="0"/>
        <v>-11500</v>
      </c>
      <c r="C12" s="663"/>
      <c r="D12" s="664"/>
      <c r="E12" s="151"/>
      <c r="F12" s="161">
        <f>F13-F14</f>
        <v>-894</v>
      </c>
      <c r="G12" s="161"/>
      <c r="H12" s="161">
        <v>-1300</v>
      </c>
      <c r="I12" s="161">
        <v>-1391</v>
      </c>
      <c r="J12" s="152">
        <v>-3000</v>
      </c>
      <c r="K12" s="665">
        <v>-1500</v>
      </c>
      <c r="L12" s="666"/>
      <c r="M12" s="667"/>
      <c r="N12" s="665">
        <v>-2000</v>
      </c>
      <c r="O12" s="666"/>
      <c r="P12" s="667"/>
      <c r="Q12" s="665">
        <v>-2500</v>
      </c>
      <c r="R12" s="666"/>
      <c r="S12" s="667"/>
      <c r="T12" s="665">
        <v>-2500</v>
      </c>
      <c r="U12" s="666"/>
      <c r="V12" s="667"/>
    </row>
    <row r="13" spans="1:25" s="159" customFormat="1" ht="24.75" hidden="1" customHeight="1">
      <c r="A13" s="157" t="s">
        <v>148</v>
      </c>
      <c r="B13" s="177">
        <f t="shared" si="0"/>
        <v>0</v>
      </c>
      <c r="C13" s="181" t="s">
        <v>281</v>
      </c>
      <c r="D13" s="174">
        <f t="shared" si="1"/>
        <v>0</v>
      </c>
      <c r="E13" s="158"/>
      <c r="F13" s="152">
        <v>6030</v>
      </c>
      <c r="G13" s="152"/>
      <c r="H13" s="152">
        <v>7055</v>
      </c>
      <c r="I13" s="152">
        <v>7549</v>
      </c>
      <c r="J13" s="152"/>
      <c r="K13" s="179"/>
      <c r="L13" s="182" t="s">
        <v>281</v>
      </c>
      <c r="M13" s="175">
        <f t="shared" si="2"/>
        <v>0</v>
      </c>
      <c r="N13" s="179"/>
      <c r="O13" s="182" t="s">
        <v>281</v>
      </c>
      <c r="P13" s="175">
        <f t="shared" si="3"/>
        <v>0</v>
      </c>
      <c r="Q13" s="179"/>
      <c r="R13" s="182" t="s">
        <v>281</v>
      </c>
      <c r="S13" s="175">
        <f t="shared" si="4"/>
        <v>0</v>
      </c>
      <c r="T13" s="179"/>
      <c r="U13" s="188" t="s">
        <v>281</v>
      </c>
      <c r="V13" s="189">
        <f t="shared" si="5"/>
        <v>0</v>
      </c>
    </row>
    <row r="14" spans="1:25" s="159" customFormat="1" ht="24.75" hidden="1" customHeight="1">
      <c r="A14" s="157" t="s">
        <v>149</v>
      </c>
      <c r="B14" s="177">
        <f t="shared" si="0"/>
        <v>0</v>
      </c>
      <c r="C14" s="181" t="s">
        <v>281</v>
      </c>
      <c r="D14" s="174">
        <f t="shared" si="1"/>
        <v>0</v>
      </c>
      <c r="E14" s="158"/>
      <c r="F14" s="152">
        <v>6924</v>
      </c>
      <c r="G14" s="152"/>
      <c r="H14" s="152">
        <v>8355</v>
      </c>
      <c r="I14" s="152">
        <v>8940</v>
      </c>
      <c r="J14" s="152"/>
      <c r="K14" s="179"/>
      <c r="L14" s="182" t="s">
        <v>281</v>
      </c>
      <c r="M14" s="175">
        <f t="shared" si="2"/>
        <v>0</v>
      </c>
      <c r="N14" s="179"/>
      <c r="O14" s="182" t="s">
        <v>281</v>
      </c>
      <c r="P14" s="175">
        <f t="shared" si="3"/>
        <v>0</v>
      </c>
      <c r="Q14" s="179"/>
      <c r="R14" s="182" t="s">
        <v>281</v>
      </c>
      <c r="S14" s="175">
        <f t="shared" si="4"/>
        <v>0</v>
      </c>
      <c r="T14" s="179"/>
      <c r="U14" s="188" t="s">
        <v>281</v>
      </c>
      <c r="V14" s="189">
        <f t="shared" si="5"/>
        <v>0</v>
      </c>
    </row>
    <row r="15" spans="1:25" s="148" customFormat="1" ht="24.75" customHeight="1">
      <c r="A15" s="150" t="s">
        <v>150</v>
      </c>
      <c r="B15" s="662">
        <f t="shared" si="0"/>
        <v>-34086</v>
      </c>
      <c r="C15" s="663"/>
      <c r="D15" s="664"/>
      <c r="E15" s="151"/>
      <c r="F15" s="161">
        <f>F16-F17</f>
        <v>-2168</v>
      </c>
      <c r="G15" s="161"/>
      <c r="H15" s="161">
        <f>H16-H17</f>
        <v>-2432</v>
      </c>
      <c r="I15" s="161">
        <f>I16-I17</f>
        <v>-2602</v>
      </c>
      <c r="J15" s="152">
        <v>-5124</v>
      </c>
      <c r="K15" s="665">
        <v>-6950</v>
      </c>
      <c r="L15" s="666"/>
      <c r="M15" s="667"/>
      <c r="N15" s="665">
        <v>-6452</v>
      </c>
      <c r="O15" s="666"/>
      <c r="P15" s="667"/>
      <c r="Q15" s="665">
        <v>-7109</v>
      </c>
      <c r="R15" s="666"/>
      <c r="S15" s="667"/>
      <c r="T15" s="665">
        <v>-8451</v>
      </c>
      <c r="U15" s="666"/>
      <c r="V15" s="667"/>
    </row>
    <row r="16" spans="1:25" s="159" customFormat="1" ht="24.75" hidden="1" customHeight="1">
      <c r="A16" s="157" t="s">
        <v>148</v>
      </c>
      <c r="B16" s="177">
        <f t="shared" si="0"/>
        <v>0</v>
      </c>
      <c r="C16" s="181" t="s">
        <v>281</v>
      </c>
      <c r="D16" s="174">
        <f t="shared" si="1"/>
        <v>0</v>
      </c>
      <c r="E16" s="158"/>
      <c r="F16" s="152">
        <v>1093</v>
      </c>
      <c r="G16" s="152"/>
      <c r="H16" s="152">
        <v>1268</v>
      </c>
      <c r="I16" s="152">
        <v>1357</v>
      </c>
      <c r="J16" s="152"/>
      <c r="K16" s="179"/>
      <c r="L16" s="182" t="s">
        <v>281</v>
      </c>
      <c r="M16" s="175">
        <f t="shared" si="2"/>
        <v>0</v>
      </c>
      <c r="N16" s="179"/>
      <c r="O16" s="182" t="s">
        <v>281</v>
      </c>
      <c r="P16" s="175">
        <f t="shared" si="3"/>
        <v>0</v>
      </c>
      <c r="Q16" s="179"/>
      <c r="R16" s="182" t="s">
        <v>281</v>
      </c>
      <c r="S16" s="175">
        <f t="shared" si="4"/>
        <v>0</v>
      </c>
      <c r="T16" s="179"/>
      <c r="U16" s="188" t="s">
        <v>281</v>
      </c>
      <c r="V16" s="189">
        <f t="shared" si="5"/>
        <v>0</v>
      </c>
    </row>
    <row r="17" spans="1:22" s="159" customFormat="1" ht="24.75" hidden="1" customHeight="1">
      <c r="A17" s="157" t="s">
        <v>149</v>
      </c>
      <c r="B17" s="177">
        <f t="shared" si="0"/>
        <v>0</v>
      </c>
      <c r="C17" s="181" t="s">
        <v>281</v>
      </c>
      <c r="D17" s="174">
        <f t="shared" si="1"/>
        <v>0</v>
      </c>
      <c r="E17" s="158"/>
      <c r="F17" s="152">
        <v>3261</v>
      </c>
      <c r="G17" s="152"/>
      <c r="H17" s="152">
        <v>3700</v>
      </c>
      <c r="I17" s="152">
        <v>3959</v>
      </c>
      <c r="J17" s="152"/>
      <c r="K17" s="179"/>
      <c r="L17" s="182" t="s">
        <v>281</v>
      </c>
      <c r="M17" s="175">
        <f t="shared" si="2"/>
        <v>0</v>
      </c>
      <c r="N17" s="179"/>
      <c r="O17" s="182" t="s">
        <v>281</v>
      </c>
      <c r="P17" s="175">
        <f t="shared" si="3"/>
        <v>0</v>
      </c>
      <c r="Q17" s="179"/>
      <c r="R17" s="182" t="s">
        <v>281</v>
      </c>
      <c r="S17" s="175">
        <f t="shared" si="4"/>
        <v>0</v>
      </c>
      <c r="T17" s="179"/>
      <c r="U17" s="188" t="s">
        <v>281</v>
      </c>
      <c r="V17" s="189">
        <f t="shared" si="5"/>
        <v>0</v>
      </c>
    </row>
    <row r="18" spans="1:22" s="148" customFormat="1" ht="24.75" customHeight="1">
      <c r="A18" s="150" t="s">
        <v>151</v>
      </c>
      <c r="B18" s="662">
        <f t="shared" si="0"/>
        <v>32038</v>
      </c>
      <c r="C18" s="663"/>
      <c r="D18" s="664"/>
      <c r="E18" s="151"/>
      <c r="F18" s="161">
        <v>6430</v>
      </c>
      <c r="G18" s="161"/>
      <c r="H18" s="161">
        <v>7257</v>
      </c>
      <c r="I18" s="161">
        <v>8100</v>
      </c>
      <c r="J18" s="152">
        <v>6500</v>
      </c>
      <c r="K18" s="665">
        <v>5700</v>
      </c>
      <c r="L18" s="666"/>
      <c r="M18" s="667"/>
      <c r="N18" s="665">
        <v>6270</v>
      </c>
      <c r="O18" s="666"/>
      <c r="P18" s="667"/>
      <c r="Q18" s="665">
        <v>6717</v>
      </c>
      <c r="R18" s="666"/>
      <c r="S18" s="667"/>
      <c r="T18" s="665">
        <v>6851</v>
      </c>
      <c r="U18" s="666"/>
      <c r="V18" s="667"/>
    </row>
    <row r="19" spans="1:22" s="159" customFormat="1" ht="24.75" hidden="1" customHeight="1">
      <c r="A19" s="157" t="s">
        <v>152</v>
      </c>
      <c r="B19" s="177">
        <f>+SUM(J19:T19)</f>
        <v>0</v>
      </c>
      <c r="C19" s="181" t="s">
        <v>281</v>
      </c>
      <c r="D19" s="174">
        <f t="shared" si="1"/>
        <v>0</v>
      </c>
      <c r="E19" s="158"/>
      <c r="F19" s="152">
        <v>250</v>
      </c>
      <c r="G19" s="152"/>
      <c r="H19" s="152">
        <v>257</v>
      </c>
      <c r="I19" s="152">
        <v>260</v>
      </c>
      <c r="J19" s="152"/>
      <c r="K19" s="179"/>
      <c r="L19" s="182" t="s">
        <v>281</v>
      </c>
      <c r="M19" s="175">
        <f t="shared" si="2"/>
        <v>0</v>
      </c>
      <c r="N19" s="179"/>
      <c r="O19" s="182" t="s">
        <v>281</v>
      </c>
      <c r="P19" s="175">
        <f t="shared" si="3"/>
        <v>0</v>
      </c>
      <c r="Q19" s="179"/>
      <c r="R19" s="182" t="s">
        <v>281</v>
      </c>
      <c r="S19" s="175">
        <f t="shared" si="4"/>
        <v>0</v>
      </c>
      <c r="T19" s="179"/>
      <c r="U19" s="188" t="s">
        <v>281</v>
      </c>
      <c r="V19" s="189">
        <f t="shared" si="5"/>
        <v>0</v>
      </c>
    </row>
    <row r="20" spans="1:22" s="159" customFormat="1" ht="24.75" hidden="1" customHeight="1">
      <c r="A20" s="157" t="s">
        <v>153</v>
      </c>
      <c r="B20" s="177">
        <f>+SUM(J20:T20)</f>
        <v>0</v>
      </c>
      <c r="C20" s="181" t="s">
        <v>281</v>
      </c>
      <c r="D20" s="174">
        <f t="shared" si="1"/>
        <v>0</v>
      </c>
      <c r="E20" s="158"/>
      <c r="F20" s="152">
        <v>6180</v>
      </c>
      <c r="G20" s="152"/>
      <c r="H20" s="152">
        <v>7000</v>
      </c>
      <c r="I20" s="152">
        <v>7840</v>
      </c>
      <c r="J20" s="152"/>
      <c r="K20" s="179"/>
      <c r="L20" s="182" t="s">
        <v>281</v>
      </c>
      <c r="M20" s="175">
        <f t="shared" si="2"/>
        <v>0</v>
      </c>
      <c r="N20" s="179"/>
      <c r="O20" s="182" t="s">
        <v>281</v>
      </c>
      <c r="P20" s="175">
        <f t="shared" si="3"/>
        <v>0</v>
      </c>
      <c r="Q20" s="179"/>
      <c r="R20" s="182" t="s">
        <v>281</v>
      </c>
      <c r="S20" s="175">
        <f t="shared" si="4"/>
        <v>0</v>
      </c>
      <c r="T20" s="179"/>
      <c r="U20" s="188" t="s">
        <v>281</v>
      </c>
      <c r="V20" s="189">
        <f t="shared" si="5"/>
        <v>0</v>
      </c>
    </row>
    <row r="21" spans="1:22" s="159" customFormat="1" ht="21.75" customHeight="1">
      <c r="A21" s="157"/>
      <c r="B21" s="177"/>
      <c r="C21" s="181"/>
      <c r="D21" s="174"/>
      <c r="E21" s="158"/>
      <c r="F21" s="152"/>
      <c r="G21" s="152"/>
      <c r="H21" s="152"/>
      <c r="I21" s="152"/>
      <c r="J21" s="152"/>
      <c r="K21" s="179"/>
      <c r="L21" s="182"/>
      <c r="M21" s="175"/>
      <c r="N21" s="179"/>
      <c r="O21" s="182"/>
      <c r="P21" s="175"/>
      <c r="Q21" s="179"/>
      <c r="R21" s="182"/>
      <c r="S21" s="175"/>
      <c r="T21" s="179"/>
      <c r="U21" s="188"/>
      <c r="V21" s="189"/>
    </row>
    <row r="22" spans="1:22" s="148" customFormat="1" ht="24.75" customHeight="1">
      <c r="A22" s="153" t="s">
        <v>154</v>
      </c>
      <c r="B22" s="196" t="e">
        <f t="shared" ref="B22:B39" si="6">+J22+K22+N22+Q22+T22</f>
        <v>#REF!</v>
      </c>
      <c r="C22" s="181" t="s">
        <v>281</v>
      </c>
      <c r="D22" s="198" t="e">
        <f t="shared" si="1"/>
        <v>#REF!</v>
      </c>
      <c r="E22" s="154"/>
      <c r="F22" s="161">
        <v>-6992</v>
      </c>
      <c r="G22" s="161"/>
      <c r="H22" s="161">
        <v>-11435</v>
      </c>
      <c r="I22" s="161">
        <v>-10690</v>
      </c>
      <c r="J22" s="152" t="e">
        <f>+J7+J12+J15+J18</f>
        <v>#REF!</v>
      </c>
      <c r="K22" s="194" t="e">
        <f>+K7+K12+K15+K18</f>
        <v>#REF!</v>
      </c>
      <c r="L22" s="182" t="s">
        <v>281</v>
      </c>
      <c r="M22" s="200" t="e">
        <f t="shared" si="2"/>
        <v>#REF!</v>
      </c>
      <c r="N22" s="194" t="e">
        <f>+N7+N12+N15+N18</f>
        <v>#REF!</v>
      </c>
      <c r="O22" s="182" t="s">
        <v>281</v>
      </c>
      <c r="P22" s="200" t="e">
        <f t="shared" si="3"/>
        <v>#REF!</v>
      </c>
      <c r="Q22" s="194" t="e">
        <f>+Q7+Q12+Q15+Q18</f>
        <v>#REF!</v>
      </c>
      <c r="R22" s="182" t="s">
        <v>281</v>
      </c>
      <c r="S22" s="200" t="e">
        <f t="shared" si="4"/>
        <v>#REF!</v>
      </c>
      <c r="T22" s="194" t="e">
        <f>+T7+T12+T15+T18</f>
        <v>#REF!</v>
      </c>
      <c r="U22" s="188" t="s">
        <v>281</v>
      </c>
      <c r="V22" s="200" t="e">
        <f t="shared" si="5"/>
        <v>#REF!</v>
      </c>
    </row>
    <row r="23" spans="1:22" s="159" customFormat="1" ht="19.5" customHeight="1">
      <c r="A23" s="157"/>
      <c r="B23" s="177"/>
      <c r="C23" s="181"/>
      <c r="D23" s="198"/>
      <c r="E23" s="158"/>
      <c r="F23" s="152"/>
      <c r="G23" s="152"/>
      <c r="H23" s="152"/>
      <c r="I23" s="152"/>
      <c r="J23" s="152"/>
      <c r="K23" s="194"/>
      <c r="L23" s="182"/>
      <c r="M23" s="200"/>
      <c r="N23" s="194"/>
      <c r="O23" s="182"/>
      <c r="P23" s="200"/>
      <c r="Q23" s="194"/>
      <c r="R23" s="182"/>
      <c r="S23" s="200"/>
      <c r="T23" s="194"/>
      <c r="U23" s="188"/>
      <c r="V23" s="189"/>
    </row>
    <row r="24" spans="1:22" s="159" customFormat="1" ht="24.75" customHeight="1">
      <c r="A24" s="153" t="s">
        <v>155</v>
      </c>
      <c r="B24" s="196" t="e">
        <f t="shared" si="6"/>
        <v>#REF!</v>
      </c>
      <c r="C24" s="181" t="s">
        <v>281</v>
      </c>
      <c r="D24" s="198" t="e">
        <f t="shared" si="1"/>
        <v>#REF!</v>
      </c>
      <c r="E24" s="158"/>
      <c r="F24" s="152"/>
      <c r="G24" s="152"/>
      <c r="H24" s="152"/>
      <c r="I24" s="152"/>
      <c r="J24" s="152" t="e">
        <f>+J26+J27+J30+J35-3600</f>
        <v>#REF!</v>
      </c>
      <c r="K24" s="194" t="e">
        <f>+K26+K27+K30+K35-3600</f>
        <v>#REF!</v>
      </c>
      <c r="L24" s="182" t="s">
        <v>281</v>
      </c>
      <c r="M24" s="200" t="e">
        <f t="shared" si="2"/>
        <v>#REF!</v>
      </c>
      <c r="N24" s="194" t="e">
        <f>+N26+N27+N30+N35-3600</f>
        <v>#REF!</v>
      </c>
      <c r="O24" s="182" t="s">
        <v>281</v>
      </c>
      <c r="P24" s="200" t="e">
        <f t="shared" si="3"/>
        <v>#REF!</v>
      </c>
      <c r="Q24" s="194" t="e">
        <f>+Q26+Q27+Q30+Q35-3600</f>
        <v>#REF!</v>
      </c>
      <c r="R24" s="182" t="s">
        <v>281</v>
      </c>
      <c r="S24" s="200" t="e">
        <f t="shared" si="4"/>
        <v>#REF!</v>
      </c>
      <c r="T24" s="194" t="e">
        <f>+T26+T27+T30+T35-3600</f>
        <v>#REF!</v>
      </c>
      <c r="U24" s="188" t="s">
        <v>281</v>
      </c>
      <c r="V24" s="200" t="e">
        <f t="shared" si="5"/>
        <v>#REF!</v>
      </c>
    </row>
    <row r="25" spans="1:22" s="159" customFormat="1" ht="21.75" customHeight="1">
      <c r="A25" s="157"/>
      <c r="B25" s="177"/>
      <c r="C25" s="181"/>
      <c r="D25" s="174"/>
      <c r="E25" s="158"/>
      <c r="F25" s="152"/>
      <c r="G25" s="152"/>
      <c r="H25" s="152"/>
      <c r="I25" s="152"/>
      <c r="J25" s="152"/>
      <c r="K25" s="194"/>
      <c r="L25" s="182"/>
      <c r="M25" s="200"/>
      <c r="N25" s="194"/>
      <c r="O25" s="182"/>
      <c r="P25" s="200"/>
      <c r="Q25" s="194"/>
      <c r="R25" s="182"/>
      <c r="S25" s="200"/>
      <c r="T25" s="194"/>
      <c r="U25" s="188"/>
      <c r="V25" s="189"/>
    </row>
    <row r="26" spans="1:22" s="148" customFormat="1" ht="24.75" customHeight="1">
      <c r="A26" s="150" t="s">
        <v>156</v>
      </c>
      <c r="B26" s="196" t="e">
        <f t="shared" si="6"/>
        <v>#REF!</v>
      </c>
      <c r="C26" s="181" t="s">
        <v>281</v>
      </c>
      <c r="D26" s="198" t="e">
        <f t="shared" si="1"/>
        <v>#REF!</v>
      </c>
      <c r="E26" s="151"/>
      <c r="F26" s="161"/>
      <c r="G26" s="161"/>
      <c r="H26" s="161"/>
      <c r="I26" s="161"/>
      <c r="J26" s="152" t="e">
        <f>+#REF!*1000-900</f>
        <v>#REF!</v>
      </c>
      <c r="K26" s="194" t="e">
        <f>+#REF!*1000-1000</f>
        <v>#REF!</v>
      </c>
      <c r="L26" s="182" t="s">
        <v>281</v>
      </c>
      <c r="M26" s="200" t="e">
        <f t="shared" si="2"/>
        <v>#REF!</v>
      </c>
      <c r="N26" s="194" t="e">
        <f>+#REF!*1000-1000</f>
        <v>#REF!</v>
      </c>
      <c r="O26" s="182" t="s">
        <v>281</v>
      </c>
      <c r="P26" s="200" t="e">
        <f t="shared" si="3"/>
        <v>#REF!</v>
      </c>
      <c r="Q26" s="194" t="e">
        <f>+#REF!*1000-1100</f>
        <v>#REF!</v>
      </c>
      <c r="R26" s="182" t="s">
        <v>281</v>
      </c>
      <c r="S26" s="200" t="e">
        <f t="shared" si="4"/>
        <v>#REF!</v>
      </c>
      <c r="T26" s="194" t="e">
        <f>+#REF!*1000-1200</f>
        <v>#REF!</v>
      </c>
      <c r="U26" s="188" t="s">
        <v>281</v>
      </c>
      <c r="V26" s="200" t="e">
        <f t="shared" si="5"/>
        <v>#REF!</v>
      </c>
    </row>
    <row r="27" spans="1:22" s="148" customFormat="1" ht="24.75" customHeight="1">
      <c r="A27" s="150" t="s">
        <v>157</v>
      </c>
      <c r="B27" s="662">
        <f t="shared" si="6"/>
        <v>13505</v>
      </c>
      <c r="C27" s="663"/>
      <c r="D27" s="664"/>
      <c r="E27" s="151"/>
      <c r="F27" s="161">
        <v>2045</v>
      </c>
      <c r="G27" s="161"/>
      <c r="H27" s="161">
        <v>964</v>
      </c>
      <c r="I27" s="161">
        <v>562</v>
      </c>
      <c r="J27" s="152">
        <v>2000</v>
      </c>
      <c r="K27" s="665">
        <v>2730</v>
      </c>
      <c r="L27" s="666"/>
      <c r="M27" s="667"/>
      <c r="N27" s="665">
        <v>2839</v>
      </c>
      <c r="O27" s="666"/>
      <c r="P27" s="667"/>
      <c r="Q27" s="665">
        <v>2924</v>
      </c>
      <c r="R27" s="666"/>
      <c r="S27" s="667"/>
      <c r="T27" s="665">
        <v>3012</v>
      </c>
      <c r="U27" s="666"/>
      <c r="V27" s="667"/>
    </row>
    <row r="28" spans="1:22" s="159" customFormat="1" ht="24.75" hidden="1" customHeight="1">
      <c r="A28" s="157" t="s">
        <v>158</v>
      </c>
      <c r="B28" s="177">
        <f t="shared" si="6"/>
        <v>0</v>
      </c>
      <c r="C28" s="181" t="s">
        <v>281</v>
      </c>
      <c r="D28" s="174">
        <f t="shared" si="1"/>
        <v>0</v>
      </c>
      <c r="E28" s="158"/>
      <c r="F28" s="152">
        <v>3397</v>
      </c>
      <c r="G28" s="152"/>
      <c r="H28" s="152">
        <v>2562</v>
      </c>
      <c r="I28" s="152">
        <v>2639</v>
      </c>
      <c r="J28" s="152"/>
      <c r="K28" s="179"/>
      <c r="L28" s="182" t="s">
        <v>281</v>
      </c>
      <c r="M28" s="175">
        <f t="shared" si="2"/>
        <v>0</v>
      </c>
      <c r="N28" s="179"/>
      <c r="O28" s="182" t="s">
        <v>281</v>
      </c>
      <c r="P28" s="175">
        <f t="shared" si="3"/>
        <v>0</v>
      </c>
      <c r="Q28" s="179"/>
      <c r="R28" s="182" t="s">
        <v>281</v>
      </c>
      <c r="S28" s="175">
        <f t="shared" si="4"/>
        <v>0</v>
      </c>
      <c r="T28" s="179"/>
      <c r="U28" s="188" t="s">
        <v>281</v>
      </c>
      <c r="V28" s="189">
        <f t="shared" si="5"/>
        <v>0</v>
      </c>
    </row>
    <row r="29" spans="1:22" s="159" customFormat="1" ht="24.75" hidden="1" customHeight="1">
      <c r="A29" s="157" t="s">
        <v>159</v>
      </c>
      <c r="B29" s="177">
        <f t="shared" si="6"/>
        <v>0</v>
      </c>
      <c r="C29" s="181" t="s">
        <v>281</v>
      </c>
      <c r="D29" s="174">
        <f t="shared" si="1"/>
        <v>0</v>
      </c>
      <c r="E29" s="158"/>
      <c r="F29" s="152">
        <v>1352</v>
      </c>
      <c r="G29" s="152"/>
      <c r="H29" s="152">
        <v>1598</v>
      </c>
      <c r="I29" s="152">
        <v>2077</v>
      </c>
      <c r="J29" s="152"/>
      <c r="K29" s="179"/>
      <c r="L29" s="182" t="s">
        <v>281</v>
      </c>
      <c r="M29" s="175">
        <f t="shared" si="2"/>
        <v>0</v>
      </c>
      <c r="N29" s="179"/>
      <c r="O29" s="182" t="s">
        <v>281</v>
      </c>
      <c r="P29" s="175">
        <f t="shared" si="3"/>
        <v>0</v>
      </c>
      <c r="Q29" s="179"/>
      <c r="R29" s="182" t="s">
        <v>281</v>
      </c>
      <c r="S29" s="175">
        <f t="shared" si="4"/>
        <v>0</v>
      </c>
      <c r="T29" s="179"/>
      <c r="U29" s="188" t="s">
        <v>281</v>
      </c>
      <c r="V29" s="189">
        <f t="shared" si="5"/>
        <v>0</v>
      </c>
    </row>
    <row r="30" spans="1:22" s="148" customFormat="1" ht="24.75" customHeight="1">
      <c r="A30" s="150" t="s">
        <v>160</v>
      </c>
      <c r="B30" s="662">
        <f t="shared" si="6"/>
        <v>7900</v>
      </c>
      <c r="C30" s="663"/>
      <c r="D30" s="664"/>
      <c r="E30" s="151"/>
      <c r="F30" s="161">
        <v>79</v>
      </c>
      <c r="G30" s="161"/>
      <c r="H30" s="161">
        <v>168</v>
      </c>
      <c r="I30" s="161">
        <v>-575</v>
      </c>
      <c r="J30" s="152">
        <v>800</v>
      </c>
      <c r="K30" s="665">
        <v>1700</v>
      </c>
      <c r="L30" s="666"/>
      <c r="M30" s="667"/>
      <c r="N30" s="665">
        <v>1900</v>
      </c>
      <c r="O30" s="666"/>
      <c r="P30" s="667"/>
      <c r="Q30" s="665">
        <v>1700</v>
      </c>
      <c r="R30" s="666"/>
      <c r="S30" s="667"/>
      <c r="T30" s="665">
        <v>1800</v>
      </c>
      <c r="U30" s="666"/>
      <c r="V30" s="667"/>
    </row>
    <row r="31" spans="1:22" s="159" customFormat="1" ht="24.75" hidden="1" customHeight="1">
      <c r="A31" s="157" t="s">
        <v>158</v>
      </c>
      <c r="B31" s="177">
        <f t="shared" si="6"/>
        <v>0</v>
      </c>
      <c r="C31" s="181" t="s">
        <v>281</v>
      </c>
      <c r="D31" s="174">
        <f t="shared" si="1"/>
        <v>0</v>
      </c>
      <c r="E31" s="158"/>
      <c r="F31" s="152">
        <v>1404</v>
      </c>
      <c r="G31" s="152"/>
      <c r="H31" s="152">
        <v>3360</v>
      </c>
      <c r="I31" s="152">
        <v>3000</v>
      </c>
      <c r="J31" s="152"/>
      <c r="K31" s="179"/>
      <c r="L31" s="182" t="s">
        <v>281</v>
      </c>
      <c r="M31" s="175">
        <f t="shared" si="2"/>
        <v>0</v>
      </c>
      <c r="N31" s="179"/>
      <c r="O31" s="182" t="s">
        <v>281</v>
      </c>
      <c r="P31" s="175">
        <f t="shared" si="3"/>
        <v>0</v>
      </c>
      <c r="Q31" s="179"/>
      <c r="R31" s="182" t="s">
        <v>281</v>
      </c>
      <c r="S31" s="175">
        <f t="shared" si="4"/>
        <v>0</v>
      </c>
      <c r="T31" s="179"/>
      <c r="U31" s="188" t="s">
        <v>281</v>
      </c>
      <c r="V31" s="189">
        <f t="shared" si="5"/>
        <v>0</v>
      </c>
    </row>
    <row r="32" spans="1:22" s="159" customFormat="1" ht="24.75" hidden="1" customHeight="1">
      <c r="A32" s="157" t="s">
        <v>159</v>
      </c>
      <c r="B32" s="177">
        <f t="shared" si="6"/>
        <v>0</v>
      </c>
      <c r="C32" s="181" t="s">
        <v>281</v>
      </c>
      <c r="D32" s="174">
        <f t="shared" si="1"/>
        <v>0</v>
      </c>
      <c r="E32" s="158"/>
      <c r="F32" s="152">
        <v>1325</v>
      </c>
      <c r="G32" s="152"/>
      <c r="H32" s="152">
        <v>3192</v>
      </c>
      <c r="I32" s="152">
        <v>3575</v>
      </c>
      <c r="J32" s="152"/>
      <c r="K32" s="179"/>
      <c r="L32" s="182" t="s">
        <v>281</v>
      </c>
      <c r="M32" s="175">
        <f t="shared" si="2"/>
        <v>0</v>
      </c>
      <c r="N32" s="179"/>
      <c r="O32" s="182" t="s">
        <v>281</v>
      </c>
      <c r="P32" s="175">
        <f t="shared" si="3"/>
        <v>0</v>
      </c>
      <c r="Q32" s="179"/>
      <c r="R32" s="182" t="s">
        <v>281</v>
      </c>
      <c r="S32" s="175">
        <f t="shared" si="4"/>
        <v>0</v>
      </c>
      <c r="T32" s="179"/>
      <c r="U32" s="188" t="s">
        <v>281</v>
      </c>
      <c r="V32" s="189">
        <f t="shared" si="5"/>
        <v>0</v>
      </c>
    </row>
    <row r="33" spans="1:22" s="148" customFormat="1" ht="24.75" hidden="1" customHeight="1">
      <c r="A33" s="150" t="s">
        <v>161</v>
      </c>
      <c r="B33" s="177">
        <f t="shared" si="6"/>
        <v>0</v>
      </c>
      <c r="C33" s="181" t="s">
        <v>281</v>
      </c>
      <c r="D33" s="174">
        <f t="shared" si="1"/>
        <v>0</v>
      </c>
      <c r="E33" s="151"/>
      <c r="F33" s="161">
        <v>6243</v>
      </c>
      <c r="G33" s="161"/>
      <c r="H33" s="161">
        <v>1300</v>
      </c>
      <c r="I33" s="161">
        <v>2000</v>
      </c>
      <c r="J33" s="152"/>
      <c r="K33" s="179"/>
      <c r="L33" s="182" t="s">
        <v>281</v>
      </c>
      <c r="M33" s="175">
        <f t="shared" si="2"/>
        <v>0</v>
      </c>
      <c r="N33" s="179"/>
      <c r="O33" s="182" t="s">
        <v>281</v>
      </c>
      <c r="P33" s="175">
        <f t="shared" si="3"/>
        <v>0</v>
      </c>
      <c r="Q33" s="179"/>
      <c r="R33" s="182" t="s">
        <v>281</v>
      </c>
      <c r="S33" s="175">
        <f t="shared" si="4"/>
        <v>0</v>
      </c>
      <c r="T33" s="179"/>
      <c r="U33" s="188" t="s">
        <v>281</v>
      </c>
      <c r="V33" s="189">
        <f t="shared" si="5"/>
        <v>0</v>
      </c>
    </row>
    <row r="34" spans="1:22" s="148" customFormat="1" ht="24.75" hidden="1" customHeight="1">
      <c r="A34" s="150" t="s">
        <v>162</v>
      </c>
      <c r="B34" s="177">
        <f t="shared" si="6"/>
        <v>0</v>
      </c>
      <c r="C34" s="181" t="s">
        <v>281</v>
      </c>
      <c r="D34" s="174">
        <f t="shared" si="1"/>
        <v>0</v>
      </c>
      <c r="E34" s="151"/>
      <c r="F34" s="161">
        <v>2623</v>
      </c>
      <c r="G34" s="161"/>
      <c r="H34" s="161">
        <v>4800</v>
      </c>
      <c r="I34" s="161">
        <v>2500</v>
      </c>
      <c r="J34" s="152"/>
      <c r="K34" s="179"/>
      <c r="L34" s="182" t="s">
        <v>281</v>
      </c>
      <c r="M34" s="175">
        <f t="shared" si="2"/>
        <v>0</v>
      </c>
      <c r="N34" s="179"/>
      <c r="O34" s="182" t="s">
        <v>281</v>
      </c>
      <c r="P34" s="175">
        <f t="shared" si="3"/>
        <v>0</v>
      </c>
      <c r="Q34" s="179"/>
      <c r="R34" s="182" t="s">
        <v>281</v>
      </c>
      <c r="S34" s="175">
        <f t="shared" si="4"/>
        <v>0</v>
      </c>
      <c r="T34" s="179"/>
      <c r="U34" s="188" t="s">
        <v>281</v>
      </c>
      <c r="V34" s="189">
        <f t="shared" si="5"/>
        <v>0</v>
      </c>
    </row>
    <row r="35" spans="1:22" s="148" customFormat="1" ht="24.75" customHeight="1">
      <c r="A35" s="150" t="s">
        <v>198</v>
      </c>
      <c r="B35" s="662">
        <f t="shared" si="6"/>
        <v>10400</v>
      </c>
      <c r="C35" s="663"/>
      <c r="D35" s="664"/>
      <c r="E35" s="151"/>
      <c r="F35" s="161"/>
      <c r="G35" s="161"/>
      <c r="H35" s="161"/>
      <c r="I35" s="161"/>
      <c r="J35" s="152">
        <v>1200</v>
      </c>
      <c r="K35" s="665">
        <v>2000</v>
      </c>
      <c r="L35" s="666"/>
      <c r="M35" s="667"/>
      <c r="N35" s="665">
        <v>2200</v>
      </c>
      <c r="O35" s="666"/>
      <c r="P35" s="667"/>
      <c r="Q35" s="665">
        <v>2500</v>
      </c>
      <c r="R35" s="666"/>
      <c r="S35" s="667"/>
      <c r="T35" s="665">
        <v>2500</v>
      </c>
      <c r="U35" s="666"/>
      <c r="V35" s="667"/>
    </row>
    <row r="36" spans="1:22" s="159" customFormat="1" ht="15.75" customHeight="1">
      <c r="A36" s="157"/>
      <c r="B36" s="177"/>
      <c r="C36" s="181"/>
      <c r="D36" s="174"/>
      <c r="E36" s="158"/>
      <c r="F36" s="152"/>
      <c r="G36" s="152"/>
      <c r="H36" s="152"/>
      <c r="I36" s="152"/>
      <c r="J36" s="152"/>
      <c r="K36" s="179"/>
      <c r="L36" s="182"/>
      <c r="M36" s="175"/>
      <c r="N36" s="179"/>
      <c r="O36" s="182"/>
      <c r="P36" s="175"/>
      <c r="Q36" s="179"/>
      <c r="R36" s="182"/>
      <c r="S36" s="175"/>
      <c r="T36" s="179"/>
      <c r="U36" s="188"/>
      <c r="V36" s="189"/>
    </row>
    <row r="37" spans="1:22" s="148" customFormat="1" ht="24.75" customHeight="1">
      <c r="A37" s="150" t="s">
        <v>163</v>
      </c>
      <c r="B37" s="662">
        <f t="shared" si="6"/>
        <v>-12500</v>
      </c>
      <c r="C37" s="663"/>
      <c r="D37" s="664"/>
      <c r="E37" s="151"/>
      <c r="F37" s="161">
        <v>-380</v>
      </c>
      <c r="G37" s="161"/>
      <c r="H37" s="161">
        <v>-300</v>
      </c>
      <c r="I37" s="161">
        <v>-300</v>
      </c>
      <c r="J37" s="152">
        <v>-2500</v>
      </c>
      <c r="K37" s="665">
        <v>-2500</v>
      </c>
      <c r="L37" s="666"/>
      <c r="M37" s="667"/>
      <c r="N37" s="665">
        <v>-2500</v>
      </c>
      <c r="O37" s="666"/>
      <c r="P37" s="667"/>
      <c r="Q37" s="665">
        <v>-2500</v>
      </c>
      <c r="R37" s="666"/>
      <c r="S37" s="667"/>
      <c r="T37" s="665">
        <v>-2500</v>
      </c>
      <c r="U37" s="666"/>
      <c r="V37" s="667"/>
    </row>
    <row r="38" spans="1:22" s="159" customFormat="1" ht="15" customHeight="1">
      <c r="A38" s="157"/>
      <c r="B38" s="177"/>
      <c r="C38" s="181"/>
      <c r="D38" s="174"/>
      <c r="E38" s="158"/>
      <c r="F38" s="152"/>
      <c r="G38" s="152"/>
      <c r="H38" s="152"/>
      <c r="I38" s="152"/>
      <c r="J38" s="152"/>
      <c r="K38" s="179"/>
      <c r="L38" s="182"/>
      <c r="M38" s="175"/>
      <c r="N38" s="179"/>
      <c r="O38" s="182"/>
      <c r="P38" s="175"/>
      <c r="Q38" s="179"/>
      <c r="R38" s="182"/>
      <c r="S38" s="175"/>
      <c r="T38" s="179"/>
      <c r="U38" s="188"/>
      <c r="V38" s="189"/>
    </row>
    <row r="39" spans="1:22" s="148" customFormat="1" ht="24.75" customHeight="1">
      <c r="A39" s="168" t="s">
        <v>164</v>
      </c>
      <c r="B39" s="203" t="e">
        <f t="shared" si="6"/>
        <v>#REF!</v>
      </c>
      <c r="C39" s="190" t="s">
        <v>281</v>
      </c>
      <c r="D39" s="202" t="e">
        <f t="shared" si="1"/>
        <v>#REF!</v>
      </c>
      <c r="E39" s="170"/>
      <c r="F39" s="171"/>
      <c r="G39" s="171"/>
      <c r="H39" s="171"/>
      <c r="I39" s="171"/>
      <c r="J39" s="169" t="e">
        <f>+J22+J24+J37</f>
        <v>#REF!</v>
      </c>
      <c r="K39" s="204" t="e">
        <f>+K22+K24+K37</f>
        <v>#REF!</v>
      </c>
      <c r="L39" s="183" t="s">
        <v>281</v>
      </c>
      <c r="M39" s="201" t="e">
        <f t="shared" si="2"/>
        <v>#REF!</v>
      </c>
      <c r="N39" s="204" t="e">
        <f>+N22+N24+N37</f>
        <v>#REF!</v>
      </c>
      <c r="O39" s="183" t="s">
        <v>281</v>
      </c>
      <c r="P39" s="201" t="e">
        <f t="shared" si="3"/>
        <v>#REF!</v>
      </c>
      <c r="Q39" s="204" t="e">
        <f>+Q22+Q24+Q37</f>
        <v>#REF!</v>
      </c>
      <c r="R39" s="183" t="s">
        <v>281</v>
      </c>
      <c r="S39" s="201" t="e">
        <f t="shared" si="4"/>
        <v>#REF!</v>
      </c>
      <c r="T39" s="204" t="e">
        <f>+T22+T24+T37</f>
        <v>#REF!</v>
      </c>
      <c r="U39" s="191" t="s">
        <v>281</v>
      </c>
      <c r="V39" s="201" t="e">
        <f t="shared" si="5"/>
        <v>#REF!</v>
      </c>
    </row>
    <row r="40" spans="1:22" s="172" customFormat="1" ht="36" hidden="1" customHeight="1">
      <c r="A40" s="176" t="s">
        <v>279</v>
      </c>
      <c r="B40" s="176"/>
      <c r="C40" s="176"/>
      <c r="D40" s="176"/>
      <c r="E40" s="176"/>
      <c r="F40" s="176"/>
      <c r="G40" s="176"/>
      <c r="H40" s="176"/>
      <c r="I40" s="176"/>
      <c r="J40" s="185"/>
      <c r="K40" s="176"/>
      <c r="L40" s="186" t="s">
        <v>281</v>
      </c>
      <c r="M40" s="176"/>
      <c r="N40" s="176"/>
      <c r="O40" s="176"/>
      <c r="P40" s="176"/>
      <c r="Q40" s="176"/>
      <c r="R40" s="176"/>
      <c r="S40" s="176"/>
      <c r="T40" s="176"/>
    </row>
    <row r="41" spans="1:22" s="148" customFormat="1" ht="24.75" hidden="1" customHeight="1">
      <c r="A41" s="144" t="s">
        <v>143</v>
      </c>
      <c r="B41" s="145" t="e">
        <f>SUM(J41:T41)</f>
        <v>#REF!</v>
      </c>
      <c r="C41" s="145"/>
      <c r="D41" s="145"/>
      <c r="E41" s="146"/>
      <c r="F41" s="147">
        <f>F42-F43</f>
        <v>-10360</v>
      </c>
      <c r="G41" s="147"/>
      <c r="H41" s="147">
        <f>H42-H43</f>
        <v>-14960</v>
      </c>
      <c r="I41" s="147">
        <f>I42-I43</f>
        <v>-14800</v>
      </c>
      <c r="J41" s="147" t="e">
        <f>+J42-J43</f>
        <v>#REF!</v>
      </c>
      <c r="K41" s="147" t="e">
        <f>+K42-K43</f>
        <v>#REF!</v>
      </c>
      <c r="L41" s="184" t="s">
        <v>281</v>
      </c>
      <c r="M41" s="147"/>
      <c r="N41" s="147" t="e">
        <f>+N42-N43</f>
        <v>#REF!</v>
      </c>
      <c r="O41" s="147"/>
      <c r="P41" s="147"/>
      <c r="Q41" s="147" t="e">
        <f>+Q42-Q43</f>
        <v>#REF!</v>
      </c>
      <c r="R41" s="147"/>
      <c r="S41" s="147"/>
      <c r="T41" s="147" t="e">
        <f>+T42-T43</f>
        <v>#REF!</v>
      </c>
    </row>
    <row r="42" spans="1:22" s="159" customFormat="1" ht="24.75" hidden="1" customHeight="1">
      <c r="A42" s="157" t="s">
        <v>144</v>
      </c>
      <c r="B42" s="149" t="e">
        <f>SUM(J42:T42)</f>
        <v>#REF!</v>
      </c>
      <c r="C42" s="149"/>
      <c r="D42" s="149"/>
      <c r="E42" s="158"/>
      <c r="F42" s="152">
        <v>48561</v>
      </c>
      <c r="G42" s="152"/>
      <c r="H42" s="152">
        <v>64000</v>
      </c>
      <c r="I42" s="152">
        <v>76700</v>
      </c>
      <c r="J42" s="152" t="e">
        <f>+#REF!*1000</f>
        <v>#REF!</v>
      </c>
      <c r="K42" s="152" t="e">
        <f>+#REF!*1000</f>
        <v>#REF!</v>
      </c>
      <c r="L42" s="184" t="s">
        <v>281</v>
      </c>
      <c r="M42" s="152"/>
      <c r="N42" s="152" t="e">
        <f>+#REF!*1000</f>
        <v>#REF!</v>
      </c>
      <c r="O42" s="152"/>
      <c r="P42" s="152"/>
      <c r="Q42" s="152" t="e">
        <f>+#REF!*1000</f>
        <v>#REF!</v>
      </c>
      <c r="R42" s="152"/>
      <c r="S42" s="152"/>
      <c r="T42" s="152" t="e">
        <f>+#REF!*1000</f>
        <v>#REF!</v>
      </c>
    </row>
    <row r="43" spans="1:22" s="159" customFormat="1" ht="24.75" hidden="1" customHeight="1">
      <c r="A43" s="157" t="s">
        <v>145</v>
      </c>
      <c r="B43" s="149" t="e">
        <f>SUM(J43:T43)</f>
        <v>#REF!</v>
      </c>
      <c r="C43" s="149"/>
      <c r="D43" s="149"/>
      <c r="E43" s="158"/>
      <c r="F43" s="152">
        <v>58921</v>
      </c>
      <c r="G43" s="160"/>
      <c r="H43" s="160">
        <v>78960</v>
      </c>
      <c r="I43" s="160">
        <v>91500</v>
      </c>
      <c r="J43" s="152" t="e">
        <f>0.9*J44</f>
        <v>#REF!</v>
      </c>
      <c r="K43" s="152" t="e">
        <f>0.9*K44</f>
        <v>#REF!</v>
      </c>
      <c r="L43" s="184" t="s">
        <v>281</v>
      </c>
      <c r="M43" s="152"/>
      <c r="N43" s="152" t="e">
        <f>0.9*N44</f>
        <v>#REF!</v>
      </c>
      <c r="O43" s="152"/>
      <c r="P43" s="152"/>
      <c r="Q43" s="152" t="e">
        <f>0.9*Q44</f>
        <v>#REF!</v>
      </c>
      <c r="R43" s="152"/>
      <c r="S43" s="152"/>
      <c r="T43" s="152" t="e">
        <f>0.9*T44</f>
        <v>#REF!</v>
      </c>
    </row>
    <row r="44" spans="1:22" s="159" customFormat="1" ht="24.75" hidden="1" customHeight="1">
      <c r="A44" s="157" t="s">
        <v>146</v>
      </c>
      <c r="B44" s="149" t="e">
        <f>SUM(J44:T44)</f>
        <v>#REF!</v>
      </c>
      <c r="C44" s="149"/>
      <c r="D44" s="149"/>
      <c r="E44" s="158"/>
      <c r="F44" s="152">
        <v>62682</v>
      </c>
      <c r="G44" s="160"/>
      <c r="H44" s="160">
        <v>84000</v>
      </c>
      <c r="I44" s="160">
        <v>97400</v>
      </c>
      <c r="J44" s="152" t="e">
        <f>+#REF!*1000</f>
        <v>#REF!</v>
      </c>
      <c r="K44" s="152" t="e">
        <f>+#REF!*1000</f>
        <v>#REF!</v>
      </c>
      <c r="L44" s="184" t="s">
        <v>281</v>
      </c>
      <c r="M44" s="152"/>
      <c r="N44" s="152" t="e">
        <f>+#REF!*1000</f>
        <v>#REF!</v>
      </c>
      <c r="O44" s="152"/>
      <c r="P44" s="152"/>
      <c r="Q44" s="152" t="e">
        <f>+#REF!*1000</f>
        <v>#REF!</v>
      </c>
      <c r="R44" s="152"/>
      <c r="S44" s="152"/>
      <c r="T44" s="152" t="e">
        <f>+#REF!*1000</f>
        <v>#REF!</v>
      </c>
    </row>
    <row r="45" spans="1:22" s="159" customFormat="1" ht="15" hidden="1" customHeight="1">
      <c r="A45" s="157"/>
      <c r="B45" s="158"/>
      <c r="C45" s="158"/>
      <c r="D45" s="158"/>
      <c r="E45" s="158"/>
      <c r="F45" s="152"/>
      <c r="G45" s="152"/>
      <c r="H45" s="152"/>
      <c r="I45" s="152"/>
      <c r="J45" s="152"/>
      <c r="K45" s="152"/>
      <c r="L45" s="184" t="s">
        <v>281</v>
      </c>
      <c r="M45" s="152"/>
      <c r="N45" s="152"/>
      <c r="O45" s="152"/>
      <c r="P45" s="152"/>
      <c r="Q45" s="152"/>
      <c r="R45" s="152"/>
      <c r="S45" s="152"/>
      <c r="T45" s="152"/>
    </row>
    <row r="46" spans="1:22" s="148" customFormat="1" ht="35.25" hidden="1" customHeight="1">
      <c r="A46" s="150" t="s">
        <v>147</v>
      </c>
      <c r="B46" s="149">
        <f>+SUM(J46:T46)</f>
        <v>-11500</v>
      </c>
      <c r="C46" s="149"/>
      <c r="D46" s="149"/>
      <c r="E46" s="151"/>
      <c r="F46" s="161">
        <f>F47-F48</f>
        <v>-894</v>
      </c>
      <c r="G46" s="161"/>
      <c r="H46" s="161">
        <v>-1300</v>
      </c>
      <c r="I46" s="161">
        <v>-1391</v>
      </c>
      <c r="J46" s="152">
        <v>-3000</v>
      </c>
      <c r="K46" s="152">
        <v>-1500</v>
      </c>
      <c r="L46" s="184" t="s">
        <v>281</v>
      </c>
      <c r="M46" s="152"/>
      <c r="N46" s="152">
        <v>-2000</v>
      </c>
      <c r="O46" s="152"/>
      <c r="P46" s="152"/>
      <c r="Q46" s="152">
        <v>-2500</v>
      </c>
      <c r="R46" s="152"/>
      <c r="S46" s="152"/>
      <c r="T46" s="152">
        <v>-2500</v>
      </c>
    </row>
    <row r="47" spans="1:22" s="159" customFormat="1" ht="24.75" hidden="1" customHeight="1">
      <c r="A47" s="157" t="s">
        <v>148</v>
      </c>
      <c r="B47" s="149">
        <f t="shared" ref="B47:B73" si="7">+SUM(J47:T47)</f>
        <v>0</v>
      </c>
      <c r="C47" s="149"/>
      <c r="D47" s="149"/>
      <c r="E47" s="158"/>
      <c r="F47" s="152">
        <v>6030</v>
      </c>
      <c r="G47" s="152"/>
      <c r="H47" s="152">
        <v>7055</v>
      </c>
      <c r="I47" s="152">
        <v>7549</v>
      </c>
      <c r="J47" s="152"/>
      <c r="K47" s="152"/>
      <c r="L47" s="184" t="s">
        <v>281</v>
      </c>
      <c r="M47" s="152"/>
      <c r="N47" s="152"/>
      <c r="O47" s="152"/>
      <c r="P47" s="152"/>
      <c r="Q47" s="152"/>
      <c r="R47" s="152"/>
      <c r="S47" s="152"/>
      <c r="T47" s="152"/>
    </row>
    <row r="48" spans="1:22" s="159" customFormat="1" ht="24.75" hidden="1" customHeight="1">
      <c r="A48" s="157" t="s">
        <v>149</v>
      </c>
      <c r="B48" s="149">
        <f t="shared" si="7"/>
        <v>0</v>
      </c>
      <c r="C48" s="149"/>
      <c r="D48" s="149"/>
      <c r="E48" s="158"/>
      <c r="F48" s="152">
        <v>6924</v>
      </c>
      <c r="G48" s="152"/>
      <c r="H48" s="152">
        <v>8355</v>
      </c>
      <c r="I48" s="152">
        <v>8940</v>
      </c>
      <c r="J48" s="152"/>
      <c r="K48" s="152"/>
      <c r="L48" s="184" t="s">
        <v>281</v>
      </c>
      <c r="M48" s="152"/>
      <c r="N48" s="152"/>
      <c r="O48" s="152"/>
      <c r="P48" s="152"/>
      <c r="Q48" s="152"/>
      <c r="R48" s="152"/>
      <c r="S48" s="152"/>
      <c r="T48" s="152"/>
    </row>
    <row r="49" spans="1:20" s="148" customFormat="1" ht="33.75" hidden="1" customHeight="1">
      <c r="A49" s="150" t="s">
        <v>150</v>
      </c>
      <c r="B49" s="149">
        <f t="shared" si="7"/>
        <v>-34086</v>
      </c>
      <c r="C49" s="149"/>
      <c r="D49" s="149"/>
      <c r="E49" s="151"/>
      <c r="F49" s="161">
        <f>F50-F51</f>
        <v>-2168</v>
      </c>
      <c r="G49" s="161"/>
      <c r="H49" s="161">
        <f>H50-H51</f>
        <v>-2432</v>
      </c>
      <c r="I49" s="161">
        <f>I50-I51</f>
        <v>-2602</v>
      </c>
      <c r="J49" s="152">
        <v>-5124</v>
      </c>
      <c r="K49" s="152">
        <v>-6950</v>
      </c>
      <c r="L49" s="184" t="s">
        <v>281</v>
      </c>
      <c r="M49" s="152"/>
      <c r="N49" s="152">
        <v>-6452</v>
      </c>
      <c r="O49" s="152"/>
      <c r="P49" s="152"/>
      <c r="Q49" s="152">
        <v>-7109</v>
      </c>
      <c r="R49" s="152"/>
      <c r="S49" s="152"/>
      <c r="T49" s="152">
        <v>-8451</v>
      </c>
    </row>
    <row r="50" spans="1:20" s="159" customFormat="1" ht="24.75" hidden="1" customHeight="1">
      <c r="A50" s="157" t="s">
        <v>148</v>
      </c>
      <c r="B50" s="149">
        <f t="shared" si="7"/>
        <v>0</v>
      </c>
      <c r="C50" s="149"/>
      <c r="D50" s="149"/>
      <c r="E50" s="158"/>
      <c r="F50" s="152">
        <v>1093</v>
      </c>
      <c r="G50" s="152"/>
      <c r="H50" s="152">
        <v>1268</v>
      </c>
      <c r="I50" s="152">
        <v>1357</v>
      </c>
      <c r="J50" s="152"/>
      <c r="K50" s="152"/>
      <c r="L50" s="184" t="s">
        <v>281</v>
      </c>
      <c r="M50" s="152"/>
      <c r="N50" s="152"/>
      <c r="O50" s="152"/>
      <c r="P50" s="152"/>
      <c r="Q50" s="152"/>
      <c r="R50" s="152"/>
      <c r="S50" s="152"/>
      <c r="T50" s="152"/>
    </row>
    <row r="51" spans="1:20" s="159" customFormat="1" ht="24.75" hidden="1" customHeight="1">
      <c r="A51" s="157" t="s">
        <v>149</v>
      </c>
      <c r="B51" s="149">
        <f t="shared" si="7"/>
        <v>0</v>
      </c>
      <c r="C51" s="149"/>
      <c r="D51" s="149"/>
      <c r="E51" s="158"/>
      <c r="F51" s="152">
        <v>3261</v>
      </c>
      <c r="G51" s="152"/>
      <c r="H51" s="152">
        <v>3700</v>
      </c>
      <c r="I51" s="152">
        <v>3959</v>
      </c>
      <c r="J51" s="152"/>
      <c r="K51" s="152"/>
      <c r="L51" s="184" t="s">
        <v>281</v>
      </c>
      <c r="M51" s="152"/>
      <c r="N51" s="152"/>
      <c r="O51" s="152"/>
      <c r="P51" s="152"/>
      <c r="Q51" s="152"/>
      <c r="R51" s="152"/>
      <c r="S51" s="152"/>
      <c r="T51" s="152"/>
    </row>
    <row r="52" spans="1:20" s="148" customFormat="1" ht="32.25" hidden="1" customHeight="1">
      <c r="A52" s="150" t="s">
        <v>151</v>
      </c>
      <c r="B52" s="149">
        <f t="shared" si="7"/>
        <v>32038</v>
      </c>
      <c r="C52" s="149"/>
      <c r="D52" s="149"/>
      <c r="E52" s="151"/>
      <c r="F52" s="161">
        <v>6430</v>
      </c>
      <c r="G52" s="161"/>
      <c r="H52" s="161">
        <v>7257</v>
      </c>
      <c r="I52" s="161">
        <v>8100</v>
      </c>
      <c r="J52" s="152">
        <v>6500</v>
      </c>
      <c r="K52" s="152">
        <v>5700</v>
      </c>
      <c r="L52" s="184" t="s">
        <v>281</v>
      </c>
      <c r="M52" s="152"/>
      <c r="N52" s="152">
        <v>6270</v>
      </c>
      <c r="O52" s="152"/>
      <c r="P52" s="152"/>
      <c r="Q52" s="152">
        <v>6717</v>
      </c>
      <c r="R52" s="152"/>
      <c r="S52" s="152"/>
      <c r="T52" s="152">
        <v>6851</v>
      </c>
    </row>
    <row r="53" spans="1:20" s="159" customFormat="1" ht="24.75" hidden="1" customHeight="1">
      <c r="A53" s="157" t="s">
        <v>152</v>
      </c>
      <c r="B53" s="149">
        <f t="shared" si="7"/>
        <v>0</v>
      </c>
      <c r="C53" s="149"/>
      <c r="D53" s="149"/>
      <c r="E53" s="158"/>
      <c r="F53" s="152">
        <v>250</v>
      </c>
      <c r="G53" s="152"/>
      <c r="H53" s="152">
        <v>257</v>
      </c>
      <c r="I53" s="152">
        <v>260</v>
      </c>
      <c r="J53" s="152"/>
      <c r="K53" s="152"/>
      <c r="L53" s="184" t="s">
        <v>281</v>
      </c>
      <c r="M53" s="152"/>
      <c r="N53" s="152"/>
      <c r="O53" s="152"/>
      <c r="P53" s="152"/>
      <c r="Q53" s="152"/>
      <c r="R53" s="152"/>
      <c r="S53" s="152"/>
      <c r="T53" s="152"/>
    </row>
    <row r="54" spans="1:20" s="159" customFormat="1" ht="24.75" hidden="1" customHeight="1">
      <c r="A54" s="157" t="s">
        <v>153</v>
      </c>
      <c r="B54" s="149">
        <f t="shared" si="7"/>
        <v>0</v>
      </c>
      <c r="C54" s="149"/>
      <c r="D54" s="149"/>
      <c r="E54" s="158"/>
      <c r="F54" s="152">
        <v>6180</v>
      </c>
      <c r="G54" s="152"/>
      <c r="H54" s="152">
        <v>7000</v>
      </c>
      <c r="I54" s="152">
        <v>7840</v>
      </c>
      <c r="J54" s="152"/>
      <c r="K54" s="152"/>
      <c r="L54" s="184" t="s">
        <v>281</v>
      </c>
      <c r="M54" s="152"/>
      <c r="N54" s="152"/>
      <c r="O54" s="152"/>
      <c r="P54" s="152"/>
      <c r="Q54" s="152"/>
      <c r="R54" s="152"/>
      <c r="S54" s="152"/>
      <c r="T54" s="152"/>
    </row>
    <row r="55" spans="1:20" s="159" customFormat="1" ht="12" hidden="1" customHeight="1">
      <c r="A55" s="157"/>
      <c r="B55" s="149"/>
      <c r="C55" s="149"/>
      <c r="D55" s="149"/>
      <c r="E55" s="158"/>
      <c r="F55" s="152"/>
      <c r="G55" s="152"/>
      <c r="H55" s="152"/>
      <c r="I55" s="152"/>
      <c r="J55" s="152"/>
      <c r="K55" s="152"/>
      <c r="L55" s="184" t="s">
        <v>281</v>
      </c>
      <c r="M55" s="152"/>
      <c r="N55" s="152"/>
      <c r="O55" s="152"/>
      <c r="P55" s="152"/>
      <c r="Q55" s="152"/>
      <c r="R55" s="152"/>
      <c r="S55" s="152"/>
      <c r="T55" s="152"/>
    </row>
    <row r="56" spans="1:20" s="148" customFormat="1" ht="24.75" hidden="1" customHeight="1">
      <c r="A56" s="153" t="s">
        <v>154</v>
      </c>
      <c r="B56" s="149" t="e">
        <f t="shared" si="7"/>
        <v>#REF!</v>
      </c>
      <c r="C56" s="149"/>
      <c r="D56" s="149"/>
      <c r="E56" s="154"/>
      <c r="F56" s="161">
        <v>-6992</v>
      </c>
      <c r="G56" s="161"/>
      <c r="H56" s="161">
        <v>-11435</v>
      </c>
      <c r="I56" s="161">
        <v>-10690</v>
      </c>
      <c r="J56" s="152" t="e">
        <f>+J41+J46+J49+J52</f>
        <v>#REF!</v>
      </c>
      <c r="K56" s="152" t="e">
        <f>+K41+K46+K49+K52</f>
        <v>#REF!</v>
      </c>
      <c r="L56" s="184" t="s">
        <v>281</v>
      </c>
      <c r="M56" s="152"/>
      <c r="N56" s="152" t="e">
        <f>+N41+N46+N49+N52</f>
        <v>#REF!</v>
      </c>
      <c r="O56" s="152"/>
      <c r="P56" s="152"/>
      <c r="Q56" s="152" t="e">
        <f>+Q41+Q46+Q49+Q52</f>
        <v>#REF!</v>
      </c>
      <c r="R56" s="152"/>
      <c r="S56" s="152"/>
      <c r="T56" s="152" t="e">
        <f>+T41+T46+T49+T52</f>
        <v>#REF!</v>
      </c>
    </row>
    <row r="57" spans="1:20" s="159" customFormat="1" ht="12.75" hidden="1" customHeight="1">
      <c r="A57" s="157"/>
      <c r="B57" s="149"/>
      <c r="C57" s="149"/>
      <c r="D57" s="149"/>
      <c r="E57" s="158"/>
      <c r="F57" s="152"/>
      <c r="G57" s="152"/>
      <c r="H57" s="152"/>
      <c r="I57" s="152"/>
      <c r="J57" s="152"/>
      <c r="K57" s="152"/>
      <c r="L57" s="184" t="s">
        <v>281</v>
      </c>
      <c r="M57" s="152"/>
      <c r="N57" s="152"/>
      <c r="O57" s="152"/>
      <c r="P57" s="152"/>
      <c r="Q57" s="152"/>
      <c r="R57" s="152"/>
      <c r="S57" s="152"/>
      <c r="T57" s="152"/>
    </row>
    <row r="58" spans="1:20" s="159" customFormat="1" ht="24.75" hidden="1" customHeight="1">
      <c r="A58" s="153" t="s">
        <v>155</v>
      </c>
      <c r="B58" s="149" t="e">
        <f t="shared" si="7"/>
        <v>#REF!</v>
      </c>
      <c r="C58" s="149"/>
      <c r="D58" s="149"/>
      <c r="E58" s="158"/>
      <c r="F58" s="152"/>
      <c r="G58" s="152"/>
      <c r="H58" s="152"/>
      <c r="I58" s="152"/>
      <c r="J58" s="152" t="e">
        <f>+J60+J61+J64+J69-3600</f>
        <v>#REF!</v>
      </c>
      <c r="K58" s="152" t="e">
        <f>+K60+K61+K64+K69-3600</f>
        <v>#REF!</v>
      </c>
      <c r="L58" s="184" t="s">
        <v>281</v>
      </c>
      <c r="M58" s="152"/>
      <c r="N58" s="152" t="e">
        <f>+N60+N61+N64+N69-3600</f>
        <v>#REF!</v>
      </c>
      <c r="O58" s="152"/>
      <c r="P58" s="152"/>
      <c r="Q58" s="152" t="e">
        <f>+Q60+Q61+Q64+Q69-3600</f>
        <v>#REF!</v>
      </c>
      <c r="R58" s="152"/>
      <c r="S58" s="152"/>
      <c r="T58" s="152" t="e">
        <f>+T60+T61+T64+T69-3600</f>
        <v>#REF!</v>
      </c>
    </row>
    <row r="59" spans="1:20" s="159" customFormat="1" ht="15.75" hidden="1" customHeight="1">
      <c r="A59" s="157"/>
      <c r="B59" s="149"/>
      <c r="C59" s="149"/>
      <c r="D59" s="149"/>
      <c r="E59" s="158"/>
      <c r="F59" s="152"/>
      <c r="G59" s="152"/>
      <c r="H59" s="152"/>
      <c r="I59" s="152"/>
      <c r="J59" s="152"/>
      <c r="K59" s="152"/>
      <c r="L59" s="184" t="s">
        <v>281</v>
      </c>
      <c r="M59" s="152"/>
      <c r="N59" s="152"/>
      <c r="O59" s="152"/>
      <c r="P59" s="152"/>
      <c r="Q59" s="152"/>
      <c r="R59" s="152"/>
      <c r="S59" s="152"/>
      <c r="T59" s="152"/>
    </row>
    <row r="60" spans="1:20" s="148" customFormat="1" ht="24.75" hidden="1" customHeight="1">
      <c r="A60" s="150" t="s">
        <v>156</v>
      </c>
      <c r="B60" s="152" t="e">
        <f t="shared" si="7"/>
        <v>#REF!</v>
      </c>
      <c r="C60" s="152"/>
      <c r="D60" s="152"/>
      <c r="E60" s="151"/>
      <c r="F60" s="161"/>
      <c r="G60" s="161"/>
      <c r="H60" s="161"/>
      <c r="I60" s="161"/>
      <c r="J60" s="152" t="e">
        <f>+#REF!*1000-900</f>
        <v>#REF!</v>
      </c>
      <c r="K60" s="152" t="e">
        <f>+#REF!*1000-100</f>
        <v>#REF!</v>
      </c>
      <c r="L60" s="184" t="s">
        <v>281</v>
      </c>
      <c r="M60" s="152"/>
      <c r="N60" s="152" t="e">
        <f>+#REF!*1000-1000</f>
        <v>#REF!</v>
      </c>
      <c r="O60" s="152"/>
      <c r="P60" s="152"/>
      <c r="Q60" s="152" t="e">
        <f>+#REF!*1000-1100</f>
        <v>#REF!</v>
      </c>
      <c r="R60" s="152"/>
      <c r="S60" s="152"/>
      <c r="T60" s="152" t="e">
        <f>+#REF!*1000-1200</f>
        <v>#REF!</v>
      </c>
    </row>
    <row r="61" spans="1:20" s="148" customFormat="1" ht="24.75" hidden="1" customHeight="1">
      <c r="A61" s="150" t="s">
        <v>157</v>
      </c>
      <c r="B61" s="149">
        <f t="shared" si="7"/>
        <v>13505</v>
      </c>
      <c r="C61" s="149"/>
      <c r="D61" s="149"/>
      <c r="E61" s="151"/>
      <c r="F61" s="161">
        <v>2045</v>
      </c>
      <c r="G61" s="161"/>
      <c r="H61" s="161">
        <v>964</v>
      </c>
      <c r="I61" s="161">
        <v>562</v>
      </c>
      <c r="J61" s="152">
        <v>2000</v>
      </c>
      <c r="K61" s="152">
        <v>2730</v>
      </c>
      <c r="L61" s="184" t="s">
        <v>281</v>
      </c>
      <c r="M61" s="152"/>
      <c r="N61" s="152">
        <v>2839</v>
      </c>
      <c r="O61" s="152"/>
      <c r="P61" s="152"/>
      <c r="Q61" s="152">
        <v>2924</v>
      </c>
      <c r="R61" s="152"/>
      <c r="S61" s="152"/>
      <c r="T61" s="152">
        <v>3012</v>
      </c>
    </row>
    <row r="62" spans="1:20" s="159" customFormat="1" ht="24.75" hidden="1" customHeight="1">
      <c r="A62" s="157" t="s">
        <v>158</v>
      </c>
      <c r="B62" s="149">
        <f t="shared" si="7"/>
        <v>0</v>
      </c>
      <c r="C62" s="149"/>
      <c r="D62" s="149"/>
      <c r="E62" s="158"/>
      <c r="F62" s="152">
        <v>3397</v>
      </c>
      <c r="G62" s="152"/>
      <c r="H62" s="152">
        <v>2562</v>
      </c>
      <c r="I62" s="152">
        <v>2639</v>
      </c>
      <c r="J62" s="152"/>
      <c r="K62" s="152"/>
      <c r="L62" s="184" t="s">
        <v>281</v>
      </c>
      <c r="M62" s="152"/>
      <c r="N62" s="152"/>
      <c r="O62" s="152"/>
      <c r="P62" s="152"/>
      <c r="Q62" s="152"/>
      <c r="R62" s="152"/>
      <c r="S62" s="152"/>
      <c r="T62" s="152"/>
    </row>
    <row r="63" spans="1:20" s="159" customFormat="1" ht="24.75" hidden="1" customHeight="1">
      <c r="A63" s="157" t="s">
        <v>159</v>
      </c>
      <c r="B63" s="149">
        <f t="shared" si="7"/>
        <v>0</v>
      </c>
      <c r="C63" s="149"/>
      <c r="D63" s="149"/>
      <c r="E63" s="158"/>
      <c r="F63" s="152">
        <v>1352</v>
      </c>
      <c r="G63" s="152"/>
      <c r="H63" s="152">
        <v>1598</v>
      </c>
      <c r="I63" s="152">
        <v>2077</v>
      </c>
      <c r="J63" s="152"/>
      <c r="K63" s="152"/>
      <c r="L63" s="184" t="s">
        <v>281</v>
      </c>
      <c r="M63" s="152"/>
      <c r="N63" s="152"/>
      <c r="O63" s="152"/>
      <c r="P63" s="152"/>
      <c r="Q63" s="152"/>
      <c r="R63" s="152"/>
      <c r="S63" s="152"/>
      <c r="T63" s="152"/>
    </row>
    <row r="64" spans="1:20" s="148" customFormat="1" ht="24.75" hidden="1" customHeight="1">
      <c r="A64" s="150" t="s">
        <v>160</v>
      </c>
      <c r="B64" s="149">
        <f t="shared" si="7"/>
        <v>7900</v>
      </c>
      <c r="C64" s="149"/>
      <c r="D64" s="149"/>
      <c r="E64" s="151"/>
      <c r="F64" s="161">
        <v>79</v>
      </c>
      <c r="G64" s="161"/>
      <c r="H64" s="161">
        <v>168</v>
      </c>
      <c r="I64" s="161">
        <v>-575</v>
      </c>
      <c r="J64" s="152">
        <v>800</v>
      </c>
      <c r="K64" s="152">
        <v>1700</v>
      </c>
      <c r="L64" s="184" t="s">
        <v>281</v>
      </c>
      <c r="M64" s="152"/>
      <c r="N64" s="152">
        <v>1900</v>
      </c>
      <c r="O64" s="152"/>
      <c r="P64" s="152"/>
      <c r="Q64" s="152">
        <v>1700</v>
      </c>
      <c r="R64" s="152"/>
      <c r="S64" s="152"/>
      <c r="T64" s="152">
        <v>1800</v>
      </c>
    </row>
    <row r="65" spans="1:20" s="159" customFormat="1" ht="24.75" hidden="1" customHeight="1">
      <c r="A65" s="157" t="s">
        <v>158</v>
      </c>
      <c r="B65" s="149">
        <f t="shared" si="7"/>
        <v>0</v>
      </c>
      <c r="C65" s="149"/>
      <c r="D65" s="149"/>
      <c r="E65" s="158"/>
      <c r="F65" s="152">
        <v>1404</v>
      </c>
      <c r="G65" s="152"/>
      <c r="H65" s="152">
        <v>3360</v>
      </c>
      <c r="I65" s="152">
        <v>3000</v>
      </c>
      <c r="J65" s="152"/>
      <c r="K65" s="152"/>
      <c r="L65" s="184" t="s">
        <v>281</v>
      </c>
      <c r="M65" s="152"/>
      <c r="N65" s="152"/>
      <c r="O65" s="152"/>
      <c r="P65" s="152"/>
      <c r="Q65" s="152"/>
      <c r="R65" s="152"/>
      <c r="S65" s="152"/>
      <c r="T65" s="152"/>
    </row>
    <row r="66" spans="1:20" s="159" customFormat="1" ht="24.75" hidden="1" customHeight="1">
      <c r="A66" s="157" t="s">
        <v>159</v>
      </c>
      <c r="B66" s="149">
        <f t="shared" si="7"/>
        <v>0</v>
      </c>
      <c r="C66" s="149"/>
      <c r="D66" s="149"/>
      <c r="E66" s="158"/>
      <c r="F66" s="152">
        <v>1325</v>
      </c>
      <c r="G66" s="152"/>
      <c r="H66" s="152">
        <v>3192</v>
      </c>
      <c r="I66" s="152">
        <v>3575</v>
      </c>
      <c r="J66" s="152"/>
      <c r="K66" s="152"/>
      <c r="L66" s="184" t="s">
        <v>281</v>
      </c>
      <c r="M66" s="152"/>
      <c r="N66" s="152"/>
      <c r="O66" s="152"/>
      <c r="P66" s="152"/>
      <c r="Q66" s="152"/>
      <c r="R66" s="152"/>
      <c r="S66" s="152"/>
      <c r="T66" s="152"/>
    </row>
    <row r="67" spans="1:20" s="148" customFormat="1" ht="24.75" hidden="1" customHeight="1">
      <c r="A67" s="150" t="s">
        <v>161</v>
      </c>
      <c r="B67" s="149">
        <f t="shared" si="7"/>
        <v>0</v>
      </c>
      <c r="C67" s="149"/>
      <c r="D67" s="149"/>
      <c r="E67" s="151"/>
      <c r="F67" s="161">
        <v>6243</v>
      </c>
      <c r="G67" s="161"/>
      <c r="H67" s="161">
        <v>1300</v>
      </c>
      <c r="I67" s="161">
        <v>2000</v>
      </c>
      <c r="J67" s="152"/>
      <c r="K67" s="152"/>
      <c r="L67" s="184" t="s">
        <v>281</v>
      </c>
      <c r="M67" s="152"/>
      <c r="N67" s="152"/>
      <c r="O67" s="152"/>
      <c r="P67" s="152"/>
      <c r="Q67" s="152"/>
      <c r="R67" s="152"/>
      <c r="S67" s="152"/>
      <c r="T67" s="152"/>
    </row>
    <row r="68" spans="1:20" s="148" customFormat="1" ht="24.75" hidden="1" customHeight="1">
      <c r="A68" s="150" t="s">
        <v>162</v>
      </c>
      <c r="B68" s="149">
        <f t="shared" si="7"/>
        <v>0</v>
      </c>
      <c r="C68" s="149"/>
      <c r="D68" s="149"/>
      <c r="E68" s="151"/>
      <c r="F68" s="161">
        <v>2623</v>
      </c>
      <c r="G68" s="161"/>
      <c r="H68" s="161">
        <v>4800</v>
      </c>
      <c r="I68" s="161">
        <v>2500</v>
      </c>
      <c r="J68" s="152"/>
      <c r="K68" s="152"/>
      <c r="L68" s="184" t="s">
        <v>281</v>
      </c>
      <c r="M68" s="152"/>
      <c r="N68" s="152"/>
      <c r="O68" s="152"/>
      <c r="P68" s="152"/>
      <c r="Q68" s="152"/>
      <c r="R68" s="152"/>
      <c r="S68" s="152"/>
      <c r="T68" s="152"/>
    </row>
    <row r="69" spans="1:20" s="148" customFormat="1" ht="24.75" hidden="1" customHeight="1">
      <c r="A69" s="150" t="s">
        <v>198</v>
      </c>
      <c r="B69" s="149">
        <f t="shared" si="7"/>
        <v>10400</v>
      </c>
      <c r="C69" s="149"/>
      <c r="D69" s="149"/>
      <c r="E69" s="151"/>
      <c r="F69" s="161"/>
      <c r="G69" s="161"/>
      <c r="H69" s="161"/>
      <c r="I69" s="161"/>
      <c r="J69" s="152">
        <v>1200</v>
      </c>
      <c r="K69" s="152">
        <v>2000</v>
      </c>
      <c r="L69" s="184" t="s">
        <v>281</v>
      </c>
      <c r="M69" s="152"/>
      <c r="N69" s="152">
        <v>2200</v>
      </c>
      <c r="O69" s="152"/>
      <c r="P69" s="152"/>
      <c r="Q69" s="152">
        <v>2500</v>
      </c>
      <c r="R69" s="152"/>
      <c r="S69" s="152"/>
      <c r="T69" s="152">
        <v>2500</v>
      </c>
    </row>
    <row r="70" spans="1:20" s="159" customFormat="1" ht="15.75" hidden="1" customHeight="1">
      <c r="A70" s="157"/>
      <c r="B70" s="149"/>
      <c r="C70" s="149"/>
      <c r="D70" s="149"/>
      <c r="E70" s="158"/>
      <c r="F70" s="152"/>
      <c r="G70" s="152"/>
      <c r="H70" s="152"/>
      <c r="I70" s="152"/>
      <c r="J70" s="152"/>
      <c r="K70" s="152"/>
      <c r="L70" s="184" t="s">
        <v>281</v>
      </c>
      <c r="M70" s="152"/>
      <c r="N70" s="152"/>
      <c r="O70" s="152"/>
      <c r="P70" s="152"/>
      <c r="Q70" s="152"/>
      <c r="R70" s="152"/>
      <c r="S70" s="152"/>
      <c r="T70" s="152"/>
    </row>
    <row r="71" spans="1:20" s="148" customFormat="1" ht="24.75" hidden="1" customHeight="1">
      <c r="A71" s="150" t="s">
        <v>163</v>
      </c>
      <c r="B71" s="149">
        <f t="shared" si="7"/>
        <v>-12500</v>
      </c>
      <c r="C71" s="149"/>
      <c r="D71" s="149"/>
      <c r="E71" s="151"/>
      <c r="F71" s="161">
        <v>-380</v>
      </c>
      <c r="G71" s="161"/>
      <c r="H71" s="161">
        <v>-300</v>
      </c>
      <c r="I71" s="161">
        <v>-300</v>
      </c>
      <c r="J71" s="152">
        <v>-2500</v>
      </c>
      <c r="K71" s="152">
        <v>-2500</v>
      </c>
      <c r="L71" s="184" t="s">
        <v>281</v>
      </c>
      <c r="M71" s="152"/>
      <c r="N71" s="152">
        <v>-2500</v>
      </c>
      <c r="O71" s="152"/>
      <c r="P71" s="152"/>
      <c r="Q71" s="152">
        <v>-2500</v>
      </c>
      <c r="R71" s="152"/>
      <c r="S71" s="152"/>
      <c r="T71" s="152">
        <v>-2500</v>
      </c>
    </row>
    <row r="72" spans="1:20" s="159" customFormat="1" ht="15" hidden="1" customHeight="1">
      <c r="A72" s="157"/>
      <c r="B72" s="149"/>
      <c r="C72" s="149"/>
      <c r="D72" s="149"/>
      <c r="E72" s="158"/>
      <c r="F72" s="152"/>
      <c r="G72" s="152"/>
      <c r="H72" s="152"/>
      <c r="I72" s="152"/>
      <c r="J72" s="152"/>
      <c r="K72" s="152"/>
      <c r="L72" s="184" t="s">
        <v>281</v>
      </c>
      <c r="M72" s="152"/>
      <c r="N72" s="152"/>
      <c r="O72" s="152"/>
      <c r="P72" s="152"/>
      <c r="Q72" s="152"/>
      <c r="R72" s="152"/>
      <c r="S72" s="152"/>
      <c r="T72" s="152"/>
    </row>
    <row r="73" spans="1:20" s="148" customFormat="1" ht="24.75" hidden="1" customHeight="1">
      <c r="A73" s="153" t="s">
        <v>164</v>
      </c>
      <c r="B73" s="152" t="e">
        <f t="shared" si="7"/>
        <v>#REF!</v>
      </c>
      <c r="C73" s="152"/>
      <c r="D73" s="152"/>
      <c r="E73" s="151"/>
      <c r="F73" s="161"/>
      <c r="G73" s="161"/>
      <c r="H73" s="161"/>
      <c r="I73" s="161"/>
      <c r="J73" s="152" t="e">
        <f>+J56+J58+J71</f>
        <v>#REF!</v>
      </c>
      <c r="K73" s="152" t="e">
        <f>+K56+K58+K71</f>
        <v>#REF!</v>
      </c>
      <c r="L73" s="184" t="s">
        <v>281</v>
      </c>
      <c r="M73" s="152"/>
      <c r="N73" s="152" t="e">
        <f>+N56+N58+N71</f>
        <v>#REF!</v>
      </c>
      <c r="O73" s="152"/>
      <c r="P73" s="152"/>
      <c r="Q73" s="152" t="e">
        <f>+Q56+Q58+Q71</f>
        <v>#REF!</v>
      </c>
      <c r="R73" s="152"/>
      <c r="S73" s="152"/>
      <c r="T73" s="152" t="e">
        <f>+T56+T58+T71</f>
        <v>#REF!</v>
      </c>
    </row>
    <row r="74" spans="1:20" hidden="1">
      <c r="A74" s="162"/>
      <c r="B74" s="162"/>
      <c r="C74" s="162"/>
      <c r="D74" s="162"/>
      <c r="E74" s="162"/>
      <c r="F74" s="162"/>
      <c r="G74" s="162"/>
      <c r="H74" s="162"/>
      <c r="I74" s="162"/>
      <c r="J74" s="162"/>
      <c r="K74" s="162"/>
      <c r="L74" s="184" t="s">
        <v>281</v>
      </c>
      <c r="M74" s="162"/>
      <c r="N74" s="162"/>
      <c r="O74" s="162"/>
      <c r="P74" s="162"/>
      <c r="Q74" s="162"/>
      <c r="R74" s="162"/>
      <c r="S74" s="162"/>
      <c r="T74" s="162"/>
    </row>
  </sheetData>
  <mergeCells count="44">
    <mergeCell ref="H1:I1"/>
    <mergeCell ref="H4:T4"/>
    <mergeCell ref="A2:T2"/>
    <mergeCell ref="B5:D5"/>
    <mergeCell ref="K5:M5"/>
    <mergeCell ref="N5:P5"/>
    <mergeCell ref="Q5:S5"/>
    <mergeCell ref="T5:V5"/>
    <mergeCell ref="Q15:S15"/>
    <mergeCell ref="Q18:S18"/>
    <mergeCell ref="N12:P12"/>
    <mergeCell ref="N15:P15"/>
    <mergeCell ref="H3:I3"/>
    <mergeCell ref="B27:D27"/>
    <mergeCell ref="T12:V12"/>
    <mergeCell ref="T15:V15"/>
    <mergeCell ref="B37:D37"/>
    <mergeCell ref="T37:V37"/>
    <mergeCell ref="B12:D12"/>
    <mergeCell ref="B15:D15"/>
    <mergeCell ref="B18:D18"/>
    <mergeCell ref="K12:M12"/>
    <mergeCell ref="K15:M15"/>
    <mergeCell ref="K18:M18"/>
    <mergeCell ref="K37:M37"/>
    <mergeCell ref="N37:P37"/>
    <mergeCell ref="Q37:S37"/>
    <mergeCell ref="N18:P18"/>
    <mergeCell ref="Q12:S12"/>
    <mergeCell ref="T18:V18"/>
    <mergeCell ref="K27:M27"/>
    <mergeCell ref="N27:P27"/>
    <mergeCell ref="Q27:S27"/>
    <mergeCell ref="T27:V27"/>
    <mergeCell ref="B30:D30"/>
    <mergeCell ref="B35:D35"/>
    <mergeCell ref="K30:M30"/>
    <mergeCell ref="K35:M35"/>
    <mergeCell ref="T30:V30"/>
    <mergeCell ref="T35:V35"/>
    <mergeCell ref="N30:P30"/>
    <mergeCell ref="N35:P35"/>
    <mergeCell ref="Q30:S30"/>
    <mergeCell ref="Q35:S35"/>
  </mergeCells>
  <phoneticPr fontId="37" type="noConversion"/>
  <printOptions horizontalCentered="1"/>
  <pageMargins left="0.35433070866141736" right="0.35433070866141736" top="1.2" bottom="1.05" header="0.51181102362204722" footer="0.67"/>
  <pageSetup paperSize="9" scale="88" firstPageNumber="138" orientation="landscape" r:id="rId1"/>
  <headerFooter alignWithMargins="0">
    <oddHeader>&amp;R&amp;P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4:G32"/>
  <sheetViews>
    <sheetView workbookViewId="0">
      <selection activeCell="F13" sqref="F13"/>
    </sheetView>
  </sheetViews>
  <sheetFormatPr defaultRowHeight="12.75"/>
  <cols>
    <col min="1" max="1" width="12.85546875" bestFit="1" customWidth="1"/>
  </cols>
  <sheetData>
    <row r="4" spans="1:7">
      <c r="B4" s="137">
        <v>2011</v>
      </c>
      <c r="C4" s="137">
        <v>2012</v>
      </c>
      <c r="D4" s="137">
        <v>2013</v>
      </c>
      <c r="E4" s="137">
        <v>2014</v>
      </c>
      <c r="F4" s="137">
        <v>2015</v>
      </c>
    </row>
    <row r="5" spans="1:7" ht="15">
      <c r="A5" t="s">
        <v>199</v>
      </c>
      <c r="B5" s="5">
        <v>2233.5129999999999</v>
      </c>
      <c r="C5" s="5">
        <v>2610.6889999999999</v>
      </c>
      <c r="D5" s="5">
        <v>3059.123</v>
      </c>
      <c r="E5" s="5">
        <v>3593.5129999999999</v>
      </c>
      <c r="F5" s="5">
        <v>4232.3130000000001</v>
      </c>
    </row>
    <row r="6" spans="1:7" ht="15">
      <c r="A6" t="s">
        <v>200</v>
      </c>
      <c r="B6" s="6">
        <v>2254.3449999999998</v>
      </c>
      <c r="C6" s="6">
        <v>2648.4839999999999</v>
      </c>
      <c r="D6" s="6">
        <v>3119.8789999999999</v>
      </c>
      <c r="E6" s="6">
        <v>3682.5909999999999</v>
      </c>
      <c r="F6" s="6">
        <v>4355.5990000000002</v>
      </c>
    </row>
    <row r="8" spans="1:7" s="138" customFormat="1">
      <c r="A8" s="138" t="s">
        <v>196</v>
      </c>
      <c r="B8" s="139">
        <v>455.19</v>
      </c>
      <c r="C8" s="139">
        <v>518.22199999999998</v>
      </c>
      <c r="D8" s="139">
        <v>590.10500000000002</v>
      </c>
      <c r="E8" s="139">
        <v>671.62800000000004</v>
      </c>
      <c r="F8" s="139">
        <v>763.93200000000002</v>
      </c>
      <c r="G8" s="139"/>
    </row>
    <row r="9" spans="1:7">
      <c r="A9" t="s">
        <v>201</v>
      </c>
      <c r="B9" s="140">
        <v>459.43599999999998</v>
      </c>
      <c r="C9" s="140">
        <v>525.79600000000005</v>
      </c>
      <c r="D9" s="140">
        <v>601.82500000000005</v>
      </c>
      <c r="E9" s="140">
        <v>688.27599999999995</v>
      </c>
      <c r="F9" s="140">
        <v>786.18600000000004</v>
      </c>
      <c r="G9" s="140"/>
    </row>
    <row r="10" spans="1:7" s="138" customFormat="1">
      <c r="A10" s="138" t="s">
        <v>197</v>
      </c>
      <c r="B10" s="139">
        <v>903.68</v>
      </c>
      <c r="C10" s="139">
        <v>1059.6790000000001</v>
      </c>
      <c r="D10" s="139">
        <v>1245.981</v>
      </c>
      <c r="E10" s="139">
        <v>1468.6690000000001</v>
      </c>
      <c r="F10" s="139">
        <v>1736.095</v>
      </c>
      <c r="G10" s="139"/>
    </row>
    <row r="11" spans="1:7">
      <c r="A11" t="s">
        <v>202</v>
      </c>
      <c r="B11" s="140">
        <v>912.10799999999995</v>
      </c>
      <c r="C11" s="140">
        <v>1075.1669999999999</v>
      </c>
      <c r="D11" s="140">
        <v>1270.7270000000001</v>
      </c>
      <c r="E11" s="140">
        <v>1505.075</v>
      </c>
      <c r="F11" s="140">
        <v>1786.6669999999999</v>
      </c>
      <c r="G11" s="140"/>
    </row>
    <row r="12" spans="1:7" s="138" customFormat="1">
      <c r="A12" s="138" t="s">
        <v>203</v>
      </c>
      <c r="B12" s="139">
        <v>874.64400000000001</v>
      </c>
      <c r="C12" s="139">
        <v>1032.789</v>
      </c>
      <c r="D12" s="139">
        <v>1223.037</v>
      </c>
      <c r="E12" s="139">
        <v>1453.2170000000001</v>
      </c>
      <c r="F12" s="139">
        <v>1732</v>
      </c>
      <c r="G12" s="139"/>
    </row>
    <row r="13" spans="1:7">
      <c r="A13" t="s">
        <v>204</v>
      </c>
      <c r="B13" s="140">
        <v>882.80200000000002</v>
      </c>
      <c r="C13" s="140">
        <v>1047.884</v>
      </c>
      <c r="D13" s="140">
        <v>1247.328</v>
      </c>
      <c r="E13" s="140">
        <v>1489.24</v>
      </c>
      <c r="F13" s="140" t="e">
        <f>F6*#REF!/100</f>
        <v>#REF!</v>
      </c>
      <c r="G13" s="140"/>
    </row>
    <row r="14" spans="1:7">
      <c r="B14" s="140"/>
      <c r="C14" s="140"/>
      <c r="D14" s="140"/>
      <c r="E14" s="140"/>
      <c r="F14" s="140"/>
      <c r="G14" s="140"/>
    </row>
    <row r="15" spans="1:7">
      <c r="B15" s="140"/>
      <c r="C15" s="140"/>
      <c r="D15" s="140"/>
      <c r="E15" s="140"/>
      <c r="F15" s="140"/>
      <c r="G15" s="140"/>
    </row>
    <row r="16" spans="1:7">
      <c r="A16" t="s">
        <v>205</v>
      </c>
      <c r="B16" s="140" t="s">
        <v>208</v>
      </c>
      <c r="C16" s="140"/>
      <c r="D16" s="140"/>
      <c r="E16" s="140"/>
      <c r="F16" s="140" t="s">
        <v>206</v>
      </c>
      <c r="G16" s="140" t="s">
        <v>207</v>
      </c>
    </row>
    <row r="17" spans="1:7">
      <c r="A17" s="138" t="s">
        <v>193</v>
      </c>
      <c r="B17" s="140" t="e">
        <f>#REF!*#REF!/100</f>
        <v>#REF!</v>
      </c>
      <c r="C17" s="140" t="e">
        <f>#REF!*#REF!/100</f>
        <v>#REF!</v>
      </c>
      <c r="D17" s="140" t="e">
        <f>#REF!*#REF!/100</f>
        <v>#REF!</v>
      </c>
      <c r="E17" s="140" t="e">
        <f>#REF!*#REF!/100</f>
        <v>#REF!</v>
      </c>
      <c r="F17" s="140" t="e">
        <f>#REF!*40/100</f>
        <v>#REF!</v>
      </c>
      <c r="G17" s="140" t="e">
        <f>#REF!*41/100</f>
        <v>#REF!</v>
      </c>
    </row>
    <row r="18" spans="1:7">
      <c r="A18" t="s">
        <v>194</v>
      </c>
      <c r="B18" s="140" t="e">
        <f>#REF!*#REF!/100</f>
        <v>#REF!</v>
      </c>
      <c r="C18" s="140" t="e">
        <f>#REF!*#REF!/100</f>
        <v>#REF!</v>
      </c>
      <c r="D18" s="140" t="e">
        <f>#REF!*#REF!/100</f>
        <v>#REF!</v>
      </c>
      <c r="E18" s="140" t="e">
        <f>#REF!*#REF!/100</f>
        <v>#REF!</v>
      </c>
      <c r="F18" s="140" t="e">
        <f>#REF!*28/100</f>
        <v>#REF!</v>
      </c>
      <c r="G18" s="140" t="e">
        <f>#REF!*29/100</f>
        <v>#REF!</v>
      </c>
    </row>
    <row r="19" spans="1:7">
      <c r="A19" s="138" t="s">
        <v>195</v>
      </c>
      <c r="B19" s="140" t="e">
        <f>#REF!*#REF!/100</f>
        <v>#REF!</v>
      </c>
      <c r="C19" s="140" t="e">
        <f>#REF!*#REF!/100</f>
        <v>#REF!</v>
      </c>
      <c r="D19" s="140" t="e">
        <f>#REF!*#REF!/100</f>
        <v>#REF!</v>
      </c>
      <c r="E19" s="140" t="e">
        <f>#REF!*#REF!/100</f>
        <v>#REF!</v>
      </c>
      <c r="F19" s="140" t="e">
        <f>#REF!*30/100</f>
        <v>#REF!</v>
      </c>
      <c r="G19" s="140" t="e">
        <f>#REF!*31/100</f>
        <v>#REF!</v>
      </c>
    </row>
    <row r="21" spans="1:7">
      <c r="A21" s="138"/>
      <c r="B21" s="140" t="e">
        <f t="shared" ref="B21:G21" si="0">SUM(B17:B19)</f>
        <v>#REF!</v>
      </c>
      <c r="C21" s="140" t="e">
        <f t="shared" si="0"/>
        <v>#REF!</v>
      </c>
      <c r="D21" s="140" t="e">
        <f t="shared" si="0"/>
        <v>#REF!</v>
      </c>
      <c r="E21" s="140" t="e">
        <f t="shared" si="0"/>
        <v>#REF!</v>
      </c>
      <c r="F21" s="140" t="e">
        <f t="shared" si="0"/>
        <v>#REF!</v>
      </c>
      <c r="G21" s="140" t="e">
        <f t="shared" si="0"/>
        <v>#REF!</v>
      </c>
    </row>
    <row r="23" spans="1:7">
      <c r="A23" t="s">
        <v>209</v>
      </c>
    </row>
    <row r="24" spans="1:7">
      <c r="A24" t="s">
        <v>210</v>
      </c>
      <c r="B24" t="e">
        <f>B5/B21</f>
        <v>#REF!</v>
      </c>
      <c r="C24" t="e">
        <f>C5/C21</f>
        <v>#REF!</v>
      </c>
      <c r="D24" t="e">
        <f>D5/D21</f>
        <v>#REF!</v>
      </c>
      <c r="E24" t="e">
        <f>E5/E21</f>
        <v>#REF!</v>
      </c>
      <c r="F24" t="e">
        <f>F5/F21</f>
        <v>#REF!</v>
      </c>
    </row>
    <row r="25" spans="1:7">
      <c r="A25" t="s">
        <v>210</v>
      </c>
      <c r="B25" t="e">
        <f>B6/B21</f>
        <v>#REF!</v>
      </c>
      <c r="C25" t="e">
        <f>C6/C21</f>
        <v>#REF!</v>
      </c>
      <c r="D25" t="e">
        <f>D6/D21</f>
        <v>#REF!</v>
      </c>
      <c r="E25" t="e">
        <f>E6/E21</f>
        <v>#REF!</v>
      </c>
      <c r="F25" t="e">
        <f>F6/F21</f>
        <v>#REF!</v>
      </c>
    </row>
    <row r="27" spans="1:7">
      <c r="A27" s="138" t="s">
        <v>196</v>
      </c>
      <c r="B27" s="140" t="e">
        <f>B8/B17</f>
        <v>#REF!</v>
      </c>
      <c r="C27" s="140" t="e">
        <f>C8/C17</f>
        <v>#REF!</v>
      </c>
      <c r="D27" s="140" t="e">
        <f>D8/D17</f>
        <v>#REF!</v>
      </c>
      <c r="E27" s="140" t="e">
        <f>E8/E17</f>
        <v>#REF!</v>
      </c>
      <c r="F27" s="140" t="e">
        <f>$F$8/F17</f>
        <v>#REF!</v>
      </c>
      <c r="G27" s="140" t="e">
        <f>$F$8/G17</f>
        <v>#REF!</v>
      </c>
    </row>
    <row r="28" spans="1:7">
      <c r="A28" t="s">
        <v>201</v>
      </c>
      <c r="B28" s="140" t="e">
        <f t="shared" ref="B28:E29" si="1">B9/B17</f>
        <v>#REF!</v>
      </c>
      <c r="C28" s="140" t="e">
        <f t="shared" si="1"/>
        <v>#REF!</v>
      </c>
      <c r="D28" s="140" t="e">
        <f t="shared" si="1"/>
        <v>#REF!</v>
      </c>
      <c r="E28" s="140" t="e">
        <f t="shared" si="1"/>
        <v>#REF!</v>
      </c>
      <c r="F28" s="140" t="e">
        <f>$F$9/F17</f>
        <v>#REF!</v>
      </c>
      <c r="G28" s="140" t="e">
        <f>$F$9/G17</f>
        <v>#REF!</v>
      </c>
    </row>
    <row r="29" spans="1:7">
      <c r="A29" s="138" t="s">
        <v>197</v>
      </c>
      <c r="B29" s="140" t="e">
        <f t="shared" si="1"/>
        <v>#REF!</v>
      </c>
      <c r="C29" s="140" t="e">
        <f t="shared" si="1"/>
        <v>#REF!</v>
      </c>
      <c r="D29" s="140" t="e">
        <f t="shared" si="1"/>
        <v>#REF!</v>
      </c>
      <c r="E29" s="140" t="e">
        <f t="shared" si="1"/>
        <v>#REF!</v>
      </c>
      <c r="F29" s="140" t="e">
        <f>$F$10/F18</f>
        <v>#REF!</v>
      </c>
      <c r="G29" s="140" t="e">
        <f>$F$10/G18</f>
        <v>#REF!</v>
      </c>
    </row>
    <row r="30" spans="1:7">
      <c r="A30" t="s">
        <v>202</v>
      </c>
      <c r="B30" s="140" t="e">
        <f t="shared" ref="B30:E31" si="2">B11/B18</f>
        <v>#REF!</v>
      </c>
      <c r="C30" s="140" t="e">
        <f t="shared" si="2"/>
        <v>#REF!</v>
      </c>
      <c r="D30" s="140" t="e">
        <f t="shared" si="2"/>
        <v>#REF!</v>
      </c>
      <c r="E30" s="140" t="e">
        <f t="shared" si="2"/>
        <v>#REF!</v>
      </c>
      <c r="F30" s="140" t="e">
        <f>$F$11/F18</f>
        <v>#REF!</v>
      </c>
      <c r="G30" s="140" t="e">
        <f>$F$11/G18</f>
        <v>#REF!</v>
      </c>
    </row>
    <row r="31" spans="1:7">
      <c r="A31" s="138" t="s">
        <v>203</v>
      </c>
      <c r="B31" s="140" t="e">
        <f t="shared" si="2"/>
        <v>#REF!</v>
      </c>
      <c r="C31" s="140" t="e">
        <f t="shared" si="2"/>
        <v>#REF!</v>
      </c>
      <c r="D31" s="140" t="e">
        <f t="shared" si="2"/>
        <v>#REF!</v>
      </c>
      <c r="E31" s="140" t="e">
        <f t="shared" si="2"/>
        <v>#REF!</v>
      </c>
      <c r="F31" s="140" t="e">
        <f>$F$12/F19</f>
        <v>#REF!</v>
      </c>
      <c r="G31" s="140" t="e">
        <f>$F$12/G19</f>
        <v>#REF!</v>
      </c>
    </row>
    <row r="32" spans="1:7">
      <c r="A32" t="s">
        <v>204</v>
      </c>
      <c r="B32" s="140" t="e">
        <f>B13/B19</f>
        <v>#REF!</v>
      </c>
      <c r="C32" s="140" t="e">
        <f>C13/C19</f>
        <v>#REF!</v>
      </c>
      <c r="D32" s="140" t="e">
        <f>D13/D19</f>
        <v>#REF!</v>
      </c>
      <c r="E32" s="140" t="e">
        <f>E13/E19</f>
        <v>#REF!</v>
      </c>
      <c r="F32" s="140" t="e">
        <f>$F$13/F19</f>
        <v>#REF!</v>
      </c>
      <c r="G32" s="140" t="e">
        <f>$F$13/G19</f>
        <v>#REF!</v>
      </c>
    </row>
  </sheetData>
  <phoneticPr fontId="60" type="noConversion"/>
  <pageMargins left="0.74803149606299213" right="0.74803149606299213" top="0.98425196850393704" bottom="0.98425196850393704" header="0.51181102362204722" footer="0.51181102362204722"/>
  <pageSetup paperSize="9" firstPageNumber="138" orientation="landscape" useFirstPageNumber="1" r:id="rId1"/>
  <headerFooter alignWithMargins="0">
    <oddHeader>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L35"/>
  <sheetViews>
    <sheetView workbookViewId="0">
      <selection activeCell="G16" sqref="G16"/>
    </sheetView>
  </sheetViews>
  <sheetFormatPr defaultRowHeight="15"/>
  <cols>
    <col min="1" max="1" width="5.140625" style="4" customWidth="1"/>
    <col min="2" max="2" width="36.5703125" style="2" customWidth="1"/>
    <col min="3" max="3" width="15.85546875" style="3" customWidth="1"/>
    <col min="4" max="4" width="12.85546875" style="1" customWidth="1"/>
    <col min="5" max="5" width="10.140625" style="1" hidden="1" customWidth="1"/>
    <col min="6" max="10" width="10.140625" style="1" customWidth="1"/>
    <col min="11" max="11" width="12.42578125" style="1" customWidth="1"/>
    <col min="12" max="16384" width="9.140625" style="1"/>
  </cols>
  <sheetData>
    <row r="1" spans="1:12" ht="30.6" customHeight="1">
      <c r="K1" s="7" t="s">
        <v>103</v>
      </c>
    </row>
    <row r="2" spans="1:12" ht="18" customHeight="1">
      <c r="A2" s="678" t="s">
        <v>130</v>
      </c>
      <c r="B2" s="678"/>
      <c r="C2" s="678"/>
      <c r="D2" s="678"/>
      <c r="E2" s="678"/>
      <c r="F2" s="678"/>
      <c r="G2" s="678"/>
      <c r="H2" s="678"/>
      <c r="I2" s="678"/>
      <c r="J2" s="678"/>
      <c r="K2" s="678"/>
    </row>
    <row r="3" spans="1:12" ht="15" customHeight="1"/>
    <row r="4" spans="1:12" s="125" customFormat="1" ht="23.1" customHeight="1">
      <c r="A4" s="676" t="s">
        <v>0</v>
      </c>
      <c r="B4" s="676" t="s">
        <v>1</v>
      </c>
      <c r="C4" s="676" t="s">
        <v>2</v>
      </c>
      <c r="D4" s="676" t="s">
        <v>129</v>
      </c>
      <c r="E4" s="676" t="s">
        <v>91</v>
      </c>
      <c r="F4" s="676">
        <v>2011</v>
      </c>
      <c r="G4" s="676">
        <v>2012</v>
      </c>
      <c r="H4" s="674">
        <v>2013</v>
      </c>
      <c r="I4" s="676">
        <v>2014</v>
      </c>
      <c r="J4" s="676">
        <v>2015</v>
      </c>
      <c r="K4" s="676" t="s">
        <v>92</v>
      </c>
    </row>
    <row r="5" spans="1:12" s="125" customFormat="1" ht="21.6" customHeight="1">
      <c r="A5" s="677"/>
      <c r="B5" s="677"/>
      <c r="C5" s="677"/>
      <c r="D5" s="677"/>
      <c r="E5" s="677"/>
      <c r="F5" s="677"/>
      <c r="G5" s="677"/>
      <c r="H5" s="675"/>
      <c r="I5" s="677"/>
      <c r="J5" s="677"/>
      <c r="K5" s="677"/>
    </row>
    <row r="6" spans="1:12" ht="20.100000000000001" customHeight="1">
      <c r="A6" s="29"/>
      <c r="B6" s="32"/>
      <c r="C6" s="126"/>
      <c r="D6" s="18"/>
      <c r="E6" s="18"/>
      <c r="F6" s="18"/>
      <c r="G6" s="18"/>
      <c r="H6" s="18"/>
      <c r="I6" s="122"/>
      <c r="J6" s="122"/>
      <c r="K6" s="20"/>
    </row>
    <row r="7" spans="1:12" s="21" customFormat="1" ht="33.75" customHeight="1">
      <c r="A7" s="15" t="s">
        <v>99</v>
      </c>
      <c r="B7" s="16" t="s">
        <v>117</v>
      </c>
      <c r="C7" s="30" t="s">
        <v>14</v>
      </c>
      <c r="E7" s="69">
        <f>E10+E13</f>
        <v>714.05200000000002</v>
      </c>
      <c r="F7" s="69"/>
      <c r="G7" s="69"/>
      <c r="H7" s="102"/>
      <c r="I7" s="102"/>
      <c r="J7" s="102"/>
      <c r="K7" s="8"/>
    </row>
    <row r="8" spans="1:12" s="92" customFormat="1" ht="33.75" customHeight="1">
      <c r="A8" s="87"/>
      <c r="B8" s="83" t="s">
        <v>15</v>
      </c>
      <c r="C8" s="30" t="s">
        <v>5</v>
      </c>
      <c r="D8" s="84"/>
      <c r="E8" s="91"/>
      <c r="F8" s="93"/>
      <c r="G8" s="93"/>
      <c r="H8" s="106"/>
      <c r="I8" s="106"/>
      <c r="J8" s="106"/>
      <c r="K8" s="87"/>
      <c r="L8" s="121"/>
    </row>
    <row r="9" spans="1:12" s="92" customFormat="1" ht="33.75" customHeight="1">
      <c r="A9" s="87"/>
      <c r="B9" s="83" t="s">
        <v>115</v>
      </c>
      <c r="C9" s="30" t="s">
        <v>5</v>
      </c>
      <c r="D9" s="84"/>
      <c r="E9" s="91">
        <f>E7/E31*100</f>
        <v>85.087225929456622</v>
      </c>
      <c r="F9" s="91"/>
      <c r="G9" s="91"/>
      <c r="H9" s="104"/>
      <c r="I9" s="104"/>
      <c r="J9" s="104"/>
      <c r="K9" s="87"/>
    </row>
    <row r="10" spans="1:12" s="9" customFormat="1" ht="33.75" customHeight="1">
      <c r="A10" s="15" t="s">
        <v>100</v>
      </c>
      <c r="B10" s="16" t="s">
        <v>116</v>
      </c>
      <c r="C10" s="30" t="s">
        <v>14</v>
      </c>
      <c r="E10" s="69">
        <v>152.571</v>
      </c>
      <c r="F10" s="69"/>
      <c r="G10" s="69"/>
      <c r="H10" s="114"/>
      <c r="I10" s="114"/>
      <c r="J10" s="114"/>
      <c r="K10" s="15"/>
    </row>
    <row r="11" spans="1:12" s="88" customFormat="1" ht="33.75" customHeight="1">
      <c r="A11" s="82"/>
      <c r="B11" s="90" t="s">
        <v>121</v>
      </c>
      <c r="C11" s="30" t="s">
        <v>5</v>
      </c>
      <c r="D11" s="84"/>
      <c r="E11" s="85"/>
      <c r="F11" s="86"/>
      <c r="G11" s="86"/>
      <c r="H11" s="103"/>
      <c r="I11" s="103"/>
      <c r="J11" s="103"/>
      <c r="K11" s="87"/>
    </row>
    <row r="12" spans="1:12" s="88" customFormat="1" ht="33.75" customHeight="1">
      <c r="A12" s="82"/>
      <c r="B12" s="90" t="s">
        <v>107</v>
      </c>
      <c r="C12" s="30" t="s">
        <v>5</v>
      </c>
      <c r="D12" s="84"/>
      <c r="E12" s="93">
        <f>E10/E7*100</f>
        <v>21.366931259908242</v>
      </c>
      <c r="F12" s="93"/>
      <c r="G12" s="93"/>
      <c r="H12" s="103"/>
      <c r="I12" s="103"/>
      <c r="J12" s="103"/>
      <c r="K12" s="87"/>
    </row>
    <row r="13" spans="1:12" s="21" customFormat="1" ht="33.75" customHeight="1">
      <c r="A13" s="15" t="s">
        <v>113</v>
      </c>
      <c r="B13" s="16" t="s">
        <v>104</v>
      </c>
      <c r="C13" s="30" t="s">
        <v>14</v>
      </c>
      <c r="E13" s="69">
        <f>E17+E19</f>
        <v>561.48099999999999</v>
      </c>
      <c r="F13" s="69"/>
      <c r="G13" s="69"/>
      <c r="H13" s="105"/>
      <c r="I13" s="105"/>
      <c r="J13" s="105"/>
      <c r="K13" s="8"/>
    </row>
    <row r="14" spans="1:12" s="92" customFormat="1" ht="28.5" customHeight="1">
      <c r="A14" s="87"/>
      <c r="B14" s="90" t="s">
        <v>121</v>
      </c>
      <c r="C14" s="30" t="s">
        <v>5</v>
      </c>
      <c r="D14" s="84"/>
      <c r="E14" s="91"/>
      <c r="F14" s="86"/>
      <c r="G14" s="86"/>
      <c r="H14" s="106"/>
      <c r="I14" s="106"/>
      <c r="J14" s="106"/>
      <c r="K14" s="87"/>
    </row>
    <row r="15" spans="1:12" s="92" customFormat="1" ht="27.75" customHeight="1">
      <c r="A15" s="87"/>
      <c r="B15" s="90" t="s">
        <v>112</v>
      </c>
      <c r="C15" s="30" t="s">
        <v>5</v>
      </c>
      <c r="D15" s="84"/>
      <c r="E15" s="91">
        <f>E10/E31*100</f>
        <v>18.180529075309817</v>
      </c>
      <c r="F15" s="91"/>
      <c r="G15" s="91"/>
      <c r="H15" s="104"/>
      <c r="I15" s="104"/>
      <c r="J15" s="104"/>
      <c r="K15" s="87"/>
    </row>
    <row r="16" spans="1:12" s="21" customFormat="1" ht="25.5" customHeight="1">
      <c r="A16" s="8"/>
      <c r="B16" s="12" t="s">
        <v>6</v>
      </c>
      <c r="C16" s="30"/>
      <c r="D16" s="19"/>
      <c r="E16" s="69"/>
      <c r="F16" s="69"/>
      <c r="G16" s="69"/>
      <c r="H16" s="101"/>
      <c r="I16" s="101"/>
      <c r="J16" s="101"/>
      <c r="K16" s="8"/>
    </row>
    <row r="17" spans="1:12" s="33" customFormat="1" ht="26.25" customHeight="1">
      <c r="A17" s="55"/>
      <c r="B17" s="94" t="s">
        <v>105</v>
      </c>
      <c r="C17" s="30" t="s">
        <v>14</v>
      </c>
      <c r="D17" s="72"/>
      <c r="E17" s="69">
        <v>402.30099999999999</v>
      </c>
      <c r="F17" s="69"/>
      <c r="G17" s="69"/>
      <c r="H17" s="107"/>
      <c r="I17" s="107"/>
      <c r="J17" s="107"/>
      <c r="K17" s="55"/>
    </row>
    <row r="18" spans="1:12" s="33" customFormat="1" ht="26.25" customHeight="1">
      <c r="A18" s="55"/>
      <c r="B18" s="95" t="s">
        <v>15</v>
      </c>
      <c r="C18" s="115" t="s">
        <v>5</v>
      </c>
      <c r="D18" s="28"/>
      <c r="E18" s="69"/>
      <c r="F18" s="31"/>
      <c r="G18" s="31"/>
      <c r="H18" s="108"/>
      <c r="I18" s="108"/>
      <c r="J18" s="108"/>
      <c r="K18" s="11"/>
    </row>
    <row r="19" spans="1:12" s="33" customFormat="1" ht="25.5" customHeight="1">
      <c r="A19" s="55"/>
      <c r="B19" s="94" t="s">
        <v>106</v>
      </c>
      <c r="C19" s="30" t="s">
        <v>14</v>
      </c>
      <c r="D19" s="72"/>
      <c r="E19" s="69">
        <v>159.18</v>
      </c>
      <c r="F19" s="69"/>
      <c r="G19" s="69"/>
      <c r="H19" s="107"/>
      <c r="I19" s="107"/>
      <c r="J19" s="107"/>
      <c r="K19" s="55"/>
    </row>
    <row r="20" spans="1:12" s="33" customFormat="1" ht="24.75" customHeight="1">
      <c r="A20" s="55"/>
      <c r="B20" s="95" t="s">
        <v>15</v>
      </c>
      <c r="C20" s="115" t="s">
        <v>5</v>
      </c>
      <c r="D20" s="28"/>
      <c r="E20" s="69"/>
      <c r="F20" s="31"/>
      <c r="G20" s="31"/>
      <c r="H20" s="108"/>
      <c r="I20" s="108"/>
      <c r="J20" s="108"/>
      <c r="K20" s="11"/>
    </row>
    <row r="21" spans="1:12" s="33" customFormat="1" ht="19.5" customHeight="1">
      <c r="A21" s="55"/>
      <c r="B21" s="95"/>
      <c r="C21" s="115"/>
      <c r="D21" s="28"/>
      <c r="E21" s="69"/>
      <c r="F21" s="31"/>
      <c r="G21" s="31"/>
      <c r="H21" s="109"/>
      <c r="I21" s="109"/>
      <c r="J21" s="109"/>
      <c r="K21" s="11"/>
    </row>
    <row r="22" spans="1:12" s="21" customFormat="1" ht="33.75" customHeight="1">
      <c r="A22" s="15" t="s">
        <v>114</v>
      </c>
      <c r="B22" s="16" t="s">
        <v>108</v>
      </c>
      <c r="C22" s="30" t="s">
        <v>14</v>
      </c>
      <c r="D22" s="28"/>
      <c r="E22" s="69">
        <f>E25+E28</f>
        <v>556.09899999999993</v>
      </c>
      <c r="F22" s="69"/>
      <c r="G22" s="69"/>
      <c r="H22" s="105"/>
      <c r="I22" s="105"/>
      <c r="J22" s="105"/>
      <c r="K22" s="8"/>
    </row>
    <row r="23" spans="1:12" s="21" customFormat="1" ht="33.75" customHeight="1">
      <c r="A23" s="8"/>
      <c r="B23" s="83" t="s">
        <v>15</v>
      </c>
      <c r="C23" s="30" t="s">
        <v>5</v>
      </c>
      <c r="D23" s="27"/>
      <c r="E23" s="71"/>
      <c r="F23" s="17"/>
      <c r="G23" s="17"/>
      <c r="H23" s="110"/>
      <c r="I23" s="110"/>
      <c r="J23" s="110"/>
      <c r="K23" s="8"/>
    </row>
    <row r="24" spans="1:12" s="21" customFormat="1" ht="33.75" customHeight="1">
      <c r="A24" s="8"/>
      <c r="B24" s="12" t="s">
        <v>6</v>
      </c>
      <c r="C24" s="30"/>
      <c r="D24" s="19"/>
      <c r="E24" s="96"/>
      <c r="F24" s="96"/>
      <c r="G24" s="96"/>
      <c r="H24" s="101"/>
      <c r="I24" s="101"/>
      <c r="J24" s="101"/>
      <c r="K24" s="8"/>
    </row>
    <row r="25" spans="1:12" s="21" customFormat="1" ht="33.75" customHeight="1">
      <c r="A25" s="8"/>
      <c r="B25" s="26" t="s">
        <v>109</v>
      </c>
      <c r="C25" s="30" t="s">
        <v>14</v>
      </c>
      <c r="D25" s="19"/>
      <c r="E25" s="22">
        <v>421.654</v>
      </c>
      <c r="F25" s="22"/>
      <c r="G25" s="22"/>
      <c r="H25" s="101"/>
      <c r="I25" s="101"/>
      <c r="J25" s="101"/>
      <c r="K25" s="8"/>
    </row>
    <row r="26" spans="1:12" s="21" customFormat="1" ht="33.75" customHeight="1">
      <c r="A26" s="8"/>
      <c r="B26" s="89" t="s">
        <v>118</v>
      </c>
      <c r="C26" s="30" t="s">
        <v>5</v>
      </c>
      <c r="D26" s="19"/>
      <c r="E26" s="22"/>
      <c r="F26" s="31"/>
      <c r="G26" s="31"/>
      <c r="H26" s="108"/>
      <c r="I26" s="108"/>
      <c r="J26" s="108"/>
      <c r="K26" s="8"/>
    </row>
    <row r="27" spans="1:12" s="25" customFormat="1" ht="33.75" customHeight="1">
      <c r="A27" s="23"/>
      <c r="B27" s="74" t="s">
        <v>119</v>
      </c>
      <c r="C27" s="30" t="s">
        <v>5</v>
      </c>
      <c r="D27" s="24"/>
      <c r="E27" s="17">
        <f>+E25/E22*100</f>
        <v>75.823549403973047</v>
      </c>
      <c r="F27" s="17"/>
      <c r="G27" s="17"/>
      <c r="H27" s="110"/>
      <c r="I27" s="110"/>
      <c r="J27" s="110"/>
      <c r="K27" s="23"/>
    </row>
    <row r="28" spans="1:12" s="21" customFormat="1" ht="33.75" customHeight="1">
      <c r="A28" s="8"/>
      <c r="B28" s="26" t="s">
        <v>110</v>
      </c>
      <c r="C28" s="30" t="s">
        <v>14</v>
      </c>
      <c r="D28" s="19"/>
      <c r="E28" s="73">
        <v>134.44499999999999</v>
      </c>
      <c r="F28" s="73"/>
      <c r="G28" s="73"/>
      <c r="H28" s="111"/>
      <c r="I28" s="111"/>
      <c r="J28" s="111"/>
      <c r="K28" s="8"/>
      <c r="L28" s="120"/>
    </row>
    <row r="29" spans="1:12" s="14" customFormat="1" ht="33.75" customHeight="1">
      <c r="A29" s="11"/>
      <c r="B29" s="89" t="s">
        <v>118</v>
      </c>
      <c r="C29" s="115" t="s">
        <v>5</v>
      </c>
      <c r="D29" s="28"/>
      <c r="E29" s="99"/>
      <c r="F29" s="31"/>
      <c r="G29" s="31"/>
      <c r="H29" s="109"/>
      <c r="I29" s="109"/>
      <c r="J29" s="109"/>
      <c r="K29" s="11"/>
    </row>
    <row r="30" spans="1:12" s="14" customFormat="1" ht="33.75" customHeight="1">
      <c r="A30" s="97"/>
      <c r="B30" s="75" t="s">
        <v>120</v>
      </c>
      <c r="C30" s="115" t="s">
        <v>5</v>
      </c>
      <c r="D30" s="28"/>
      <c r="E30" s="13">
        <f>+E28/E22*100</f>
        <v>24.176450596026967</v>
      </c>
      <c r="F30" s="13"/>
      <c r="G30" s="13"/>
      <c r="H30" s="112"/>
      <c r="I30" s="112"/>
      <c r="J30" s="112"/>
      <c r="K30" s="98"/>
    </row>
    <row r="31" spans="1:12" s="25" customFormat="1" ht="33.75" hidden="1" customHeight="1">
      <c r="A31" s="76" t="s">
        <v>16</v>
      </c>
      <c r="B31" s="77" t="s">
        <v>111</v>
      </c>
      <c r="C31" s="10" t="s">
        <v>14</v>
      </c>
      <c r="D31" s="78"/>
      <c r="E31" s="70">
        <v>839.2</v>
      </c>
      <c r="F31" s="70">
        <v>974.3</v>
      </c>
      <c r="G31" s="79">
        <v>1144</v>
      </c>
      <c r="H31" s="78">
        <v>1490</v>
      </c>
      <c r="I31" s="123"/>
      <c r="J31" s="123"/>
      <c r="K31" s="63"/>
    </row>
    <row r="32" spans="1:12" s="21" customFormat="1" ht="20.100000000000001" customHeight="1">
      <c r="A32" s="36"/>
      <c r="B32" s="35"/>
      <c r="C32" s="127"/>
      <c r="D32" s="37"/>
      <c r="E32" s="80"/>
      <c r="F32" s="37"/>
      <c r="G32" s="37"/>
      <c r="H32" s="113"/>
      <c r="I32" s="113"/>
      <c r="J32" s="113"/>
      <c r="K32" s="34"/>
    </row>
    <row r="34" spans="4:10">
      <c r="D34" s="62"/>
      <c r="H34" s="81"/>
      <c r="I34" s="81"/>
      <c r="J34" s="81"/>
    </row>
    <row r="35" spans="4:10">
      <c r="H35" s="81"/>
      <c r="I35" s="81"/>
      <c r="J35" s="81"/>
    </row>
  </sheetData>
  <mergeCells count="12">
    <mergeCell ref="H4:H5"/>
    <mergeCell ref="I4:I5"/>
    <mergeCell ref="A2:K2"/>
    <mergeCell ref="A4:A5"/>
    <mergeCell ref="B4:B5"/>
    <mergeCell ref="C4:C5"/>
    <mergeCell ref="D4:D5"/>
    <mergeCell ref="E4:E5"/>
    <mergeCell ref="K4:K5"/>
    <mergeCell ref="J4:J5"/>
    <mergeCell ref="F4:F5"/>
    <mergeCell ref="G4:G5"/>
  </mergeCells>
  <phoneticPr fontId="14" type="noConversion"/>
  <pageMargins left="0.71" right="0.66" top="0.73" bottom="0.93" header="0.5" footer="0.5"/>
  <pageSetup paperSize="9" orientation="landscape" r:id="rId1"/>
  <headerFooter alignWithMargins="0">
    <oddFooter>&amp;C&amp;P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4:S16"/>
  <sheetViews>
    <sheetView workbookViewId="0">
      <selection activeCell="A28" sqref="A28"/>
    </sheetView>
  </sheetViews>
  <sheetFormatPr defaultRowHeight="12.75"/>
  <cols>
    <col min="2" max="2" width="7" customWidth="1"/>
    <col min="4" max="4" width="7.85546875" customWidth="1"/>
    <col min="5" max="5" width="8.5703125" customWidth="1"/>
    <col min="6" max="7" width="7.140625" customWidth="1"/>
    <col min="8" max="8" width="7" customWidth="1"/>
    <col min="9" max="9" width="6.85546875" customWidth="1"/>
    <col min="10" max="10" width="7.85546875" customWidth="1"/>
    <col min="11" max="11" width="7.42578125" customWidth="1"/>
    <col min="12" max="12" width="7.140625" customWidth="1"/>
    <col min="13" max="13" width="7.5703125" customWidth="1"/>
    <col min="14" max="14" width="7.42578125" customWidth="1"/>
    <col min="15" max="15" width="7.5703125" customWidth="1"/>
    <col min="16" max="16" width="9.85546875" customWidth="1"/>
    <col min="17" max="17" width="7.42578125" customWidth="1"/>
  </cols>
  <sheetData>
    <row r="4" spans="1:19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35" t="s">
        <v>171</v>
      </c>
    </row>
    <row r="5" spans="1:19">
      <c r="A5" s="128"/>
      <c r="B5" s="128">
        <v>2010</v>
      </c>
      <c r="C5" s="679">
        <v>2011</v>
      </c>
      <c r="D5" s="679"/>
      <c r="E5" s="679"/>
      <c r="F5" s="679">
        <v>2012</v>
      </c>
      <c r="G5" s="679"/>
      <c r="H5" s="679"/>
      <c r="I5" s="679">
        <v>2013</v>
      </c>
      <c r="J5" s="679"/>
      <c r="K5" s="679"/>
      <c r="L5" s="679">
        <v>2014</v>
      </c>
      <c r="M5" s="679"/>
      <c r="N5" s="679"/>
      <c r="O5" s="679">
        <v>2015</v>
      </c>
      <c r="P5" s="679"/>
      <c r="Q5" s="679"/>
    </row>
    <row r="6" spans="1:19" ht="15">
      <c r="A6" s="128"/>
      <c r="B6" s="128"/>
      <c r="C6" s="129" t="s">
        <v>166</v>
      </c>
      <c r="D6" s="129" t="s">
        <v>167</v>
      </c>
      <c r="E6" s="129" t="s">
        <v>168</v>
      </c>
      <c r="F6" s="130" t="s">
        <v>166</v>
      </c>
      <c r="G6" s="130" t="s">
        <v>167</v>
      </c>
      <c r="H6" s="130" t="s">
        <v>168</v>
      </c>
      <c r="I6" s="129" t="s">
        <v>166</v>
      </c>
      <c r="J6" s="129" t="s">
        <v>167</v>
      </c>
      <c r="K6" s="129" t="s">
        <v>168</v>
      </c>
      <c r="L6" s="130" t="s">
        <v>166</v>
      </c>
      <c r="M6" s="130" t="s">
        <v>167</v>
      </c>
      <c r="N6" s="130" t="s">
        <v>168</v>
      </c>
      <c r="O6" s="129" t="s">
        <v>166</v>
      </c>
      <c r="P6" s="129" t="s">
        <v>167</v>
      </c>
      <c r="Q6" s="129" t="s">
        <v>168</v>
      </c>
      <c r="R6" s="136" t="s">
        <v>166</v>
      </c>
      <c r="S6" s="136" t="s">
        <v>167</v>
      </c>
    </row>
    <row r="7" spans="1:19" ht="57">
      <c r="A7" s="131" t="s">
        <v>7</v>
      </c>
      <c r="B7" s="128">
        <v>1968.55</v>
      </c>
      <c r="C7" s="128">
        <f>B7*(1+C11%)*(1+C14)</f>
        <v>2264.2262099999998</v>
      </c>
      <c r="D7" s="128">
        <f>C7*(1+D11%)*(1+D14)</f>
        <v>2628.7666298099998</v>
      </c>
      <c r="E7" s="128">
        <f>(C7+D7)/2</f>
        <v>2446.496419905</v>
      </c>
      <c r="F7" s="128">
        <f>E7*(1+F11%)*(1+F14)</f>
        <v>2819.2446144417258</v>
      </c>
      <c r="G7" s="128">
        <f>E7*(1+G11%)*(1+G14)</f>
        <v>2845.6667757767</v>
      </c>
      <c r="H7" s="128">
        <f>(F7+G7)/2</f>
        <v>2832.4556951092127</v>
      </c>
      <c r="I7" s="128">
        <f>H7*(1+I11%)*(1+I14)</f>
        <v>3270.1267491174881</v>
      </c>
      <c r="J7" s="128">
        <f>H7*(1+J11%)*(1+J14)</f>
        <v>3300.7172706246679</v>
      </c>
      <c r="K7" s="128">
        <f>(I7+J7)/2</f>
        <v>3285.422009871078</v>
      </c>
      <c r="L7" s="128">
        <f>K7*(1+L11%)*(1+L14)</f>
        <v>3803.7301861483397</v>
      </c>
      <c r="M7" s="128">
        <f>K7*(1+M11%)*(1+M14)</f>
        <v>3839.2127438549473</v>
      </c>
      <c r="N7" s="128">
        <f>(L7+M7)/2</f>
        <v>3821.4714650016435</v>
      </c>
      <c r="O7" s="128">
        <f>N7*(1+O11%)*(1+O14)</f>
        <v>4436.7283708669083</v>
      </c>
      <c r="P7" s="128">
        <f>N7*(1+P11%)*(1+P14)</f>
        <v>4478.0002626889254</v>
      </c>
      <c r="Q7" s="128">
        <f>(O7+P7)/2</f>
        <v>4457.3643167779173</v>
      </c>
      <c r="R7">
        <f>C7+F7+I7+L7+O7</f>
        <v>16594.05613057446</v>
      </c>
      <c r="S7">
        <f>D7+G7+J7+M7+P7</f>
        <v>17092.36368275524</v>
      </c>
    </row>
    <row r="8" spans="1:19" ht="42.75">
      <c r="A8" s="131" t="s">
        <v>8</v>
      </c>
      <c r="B8" s="128">
        <v>108.15</v>
      </c>
      <c r="C8" s="128">
        <f>C7/C15</f>
        <v>121.73259193548385</v>
      </c>
      <c r="D8" s="128">
        <f>D7/D15</f>
        <v>141.33153923709676</v>
      </c>
      <c r="E8" s="128"/>
      <c r="F8" s="128">
        <f>F7/F15</f>
        <v>147.60443007548301</v>
      </c>
      <c r="G8" s="128">
        <f>G7/G15</f>
        <v>148.98778930768063</v>
      </c>
      <c r="H8" s="128"/>
      <c r="I8" s="128">
        <f>I7/I15</f>
        <v>166.84320148558612</v>
      </c>
      <c r="J8" s="128">
        <f>J7/J15</f>
        <v>168.40394237880957</v>
      </c>
      <c r="K8" s="128"/>
      <c r="L8" s="128">
        <f>L7/L15</f>
        <v>187.37587123883446</v>
      </c>
      <c r="M8" s="128">
        <f>M7/M15</f>
        <v>189.12378048546537</v>
      </c>
      <c r="N8" s="128"/>
      <c r="O8" s="128">
        <f>O7/O15</f>
        <v>212.28365410846453</v>
      </c>
      <c r="P8" s="128">
        <f>P7/P15</f>
        <v>214.25838577458975</v>
      </c>
      <c r="Q8" s="128"/>
      <c r="R8">
        <f>C8+F8+I8+L8+O8</f>
        <v>835.83974884385202</v>
      </c>
      <c r="S8">
        <f>D8+G8+J8+M8+P8</f>
        <v>862.10543718364204</v>
      </c>
    </row>
    <row r="9" spans="1:19" ht="71.25">
      <c r="A9" s="131" t="s">
        <v>9</v>
      </c>
      <c r="B9" s="128">
        <v>1225.5</v>
      </c>
      <c r="C9" s="128">
        <f>C8*1000/C16</f>
        <v>1363.9506099213877</v>
      </c>
      <c r="D9" s="128">
        <f>D8*1000/D16</f>
        <v>1583.5466581187311</v>
      </c>
      <c r="E9" s="128"/>
      <c r="F9" s="128">
        <f>F8*1000/F16</f>
        <v>1635.5061504208645</v>
      </c>
      <c r="G9" s="128">
        <f>G8*1000/G16</f>
        <v>1650.8342305560179</v>
      </c>
      <c r="H9" s="128"/>
      <c r="I9" s="128">
        <f>I8*1000/I16</f>
        <v>1832.2337083855273</v>
      </c>
      <c r="J9" s="128">
        <f>J8*1000/J16</f>
        <v>1849.3734063124268</v>
      </c>
      <c r="K9" s="128"/>
      <c r="L9" s="128">
        <f>L8*1000/L16</f>
        <v>2039.7982934774054</v>
      </c>
      <c r="M9" s="128">
        <f>M8*1000/M16</f>
        <v>2058.8262626329779</v>
      </c>
      <c r="N9" s="128"/>
      <c r="O9" s="128">
        <f>O8*1000/O16</f>
        <v>2291.2428937772752</v>
      </c>
      <c r="P9" s="128">
        <f>P8*1000/P16</f>
        <v>2312.5567811612491</v>
      </c>
      <c r="Q9" s="128"/>
      <c r="R9">
        <f>O9</f>
        <v>2291.2428937772752</v>
      </c>
      <c r="S9">
        <f>P9</f>
        <v>2312.5567811612491</v>
      </c>
    </row>
    <row r="10" spans="1:19">
      <c r="A10" s="128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</row>
    <row r="11" spans="1:19" ht="45">
      <c r="A11" s="132" t="s">
        <v>4</v>
      </c>
      <c r="B11" s="128"/>
      <c r="C11" s="128">
        <v>6.5</v>
      </c>
      <c r="D11" s="128">
        <v>7.5</v>
      </c>
      <c r="E11" s="128"/>
      <c r="F11" s="128">
        <v>6.7</v>
      </c>
      <c r="G11" s="128">
        <v>7.7</v>
      </c>
      <c r="H11" s="128"/>
      <c r="I11" s="128">
        <v>6.9</v>
      </c>
      <c r="J11" s="128">
        <v>7.9</v>
      </c>
      <c r="K11" s="128"/>
      <c r="L11" s="128">
        <v>7.2</v>
      </c>
      <c r="M11" s="128">
        <v>8.1999999999999993</v>
      </c>
      <c r="N11" s="128"/>
      <c r="O11" s="128">
        <v>7.5</v>
      </c>
      <c r="P11" s="128">
        <v>8.5</v>
      </c>
      <c r="Q11" s="128"/>
    </row>
    <row r="12" spans="1:19">
      <c r="A12" s="128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</row>
    <row r="13" spans="1:19">
      <c r="A13" s="128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</row>
    <row r="14" spans="1:19">
      <c r="A14" s="128" t="s">
        <v>165</v>
      </c>
      <c r="B14" s="128"/>
      <c r="C14" s="133">
        <v>0.08</v>
      </c>
      <c r="D14" s="133">
        <v>0.08</v>
      </c>
      <c r="E14" s="133">
        <v>0.08</v>
      </c>
      <c r="F14" s="133">
        <v>0.08</v>
      </c>
      <c r="G14" s="133">
        <v>0.08</v>
      </c>
      <c r="H14" s="133">
        <v>0.08</v>
      </c>
      <c r="I14" s="133">
        <v>0.08</v>
      </c>
      <c r="J14" s="133">
        <v>0.08</v>
      </c>
      <c r="K14" s="133">
        <v>0.08</v>
      </c>
      <c r="L14" s="133">
        <v>0.08</v>
      </c>
      <c r="M14" s="133">
        <v>0.08</v>
      </c>
      <c r="N14" s="133">
        <v>0.08</v>
      </c>
      <c r="O14" s="133">
        <v>0.08</v>
      </c>
      <c r="P14" s="133">
        <v>0.08</v>
      </c>
      <c r="Q14" s="133">
        <v>0.08</v>
      </c>
    </row>
    <row r="15" spans="1:19">
      <c r="A15" s="128" t="s">
        <v>169</v>
      </c>
      <c r="B15" s="128"/>
      <c r="C15" s="128">
        <v>18.600000000000001</v>
      </c>
      <c r="D15" s="128">
        <v>18.600000000000001</v>
      </c>
      <c r="E15" s="128">
        <v>18.600000000000001</v>
      </c>
      <c r="F15" s="128">
        <v>19.100000000000001</v>
      </c>
      <c r="G15" s="128">
        <v>19.100000000000001</v>
      </c>
      <c r="H15" s="128">
        <v>19.100000000000001</v>
      </c>
      <c r="I15" s="128">
        <v>19.600000000000001</v>
      </c>
      <c r="J15" s="128">
        <v>19.600000000000001</v>
      </c>
      <c r="K15" s="128">
        <v>19.600000000000001</v>
      </c>
      <c r="L15" s="128">
        <v>20.3</v>
      </c>
      <c r="M15" s="128">
        <v>20.3</v>
      </c>
      <c r="N15" s="128">
        <v>20.3</v>
      </c>
      <c r="O15" s="128">
        <v>20.9</v>
      </c>
      <c r="P15" s="128">
        <v>20.9</v>
      </c>
      <c r="Q15" s="128">
        <v>20.9</v>
      </c>
    </row>
    <row r="16" spans="1:19" ht="14.25">
      <c r="A16" s="128" t="s">
        <v>170</v>
      </c>
      <c r="B16" s="128"/>
      <c r="C16" s="134">
        <v>89.25</v>
      </c>
      <c r="D16" s="134">
        <v>89.25</v>
      </c>
      <c r="E16" s="134">
        <v>89.25</v>
      </c>
      <c r="F16" s="134">
        <v>90.25</v>
      </c>
      <c r="G16" s="134">
        <v>90.25</v>
      </c>
      <c r="H16" s="134">
        <v>90.25</v>
      </c>
      <c r="I16" s="134">
        <v>91.06</v>
      </c>
      <c r="J16" s="134">
        <v>91.06</v>
      </c>
      <c r="K16" s="134">
        <v>91.06</v>
      </c>
      <c r="L16" s="134">
        <v>91.86</v>
      </c>
      <c r="M16" s="134">
        <v>91.86</v>
      </c>
      <c r="N16" s="134">
        <v>91.86</v>
      </c>
      <c r="O16" s="134">
        <v>92.65</v>
      </c>
      <c r="P16" s="134">
        <v>92.65</v>
      </c>
      <c r="Q16" s="134">
        <v>92.65</v>
      </c>
    </row>
  </sheetData>
  <mergeCells count="5">
    <mergeCell ref="O5:Q5"/>
    <mergeCell ref="C5:E5"/>
    <mergeCell ref="F5:H5"/>
    <mergeCell ref="I5:K5"/>
    <mergeCell ref="L5:N5"/>
  </mergeCells>
  <phoneticPr fontId="60" type="noConversion"/>
  <pageMargins left="0.28000000000000003" right="0.16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L27"/>
  <sheetViews>
    <sheetView topLeftCell="A10" workbookViewId="0">
      <selection activeCell="A28" sqref="A28"/>
    </sheetView>
  </sheetViews>
  <sheetFormatPr defaultRowHeight="12.75"/>
  <cols>
    <col min="1" max="1" width="23.42578125" bestFit="1" customWidth="1"/>
    <col min="2" max="2" width="9.85546875" bestFit="1" customWidth="1"/>
  </cols>
  <sheetData>
    <row r="2" spans="1:12" ht="27.75" customHeight="1">
      <c r="B2" t="s">
        <v>182</v>
      </c>
      <c r="C2" s="680">
        <v>2011</v>
      </c>
      <c r="D2" s="680"/>
      <c r="E2" s="680">
        <v>2012</v>
      </c>
      <c r="F2" s="680"/>
      <c r="G2" s="680">
        <v>2013</v>
      </c>
      <c r="H2" s="680"/>
      <c r="I2" s="680">
        <v>2014</v>
      </c>
      <c r="J2" s="680"/>
      <c r="K2" s="680">
        <v>2015</v>
      </c>
      <c r="L2" s="680"/>
    </row>
    <row r="3" spans="1:12" ht="27.75" customHeight="1">
      <c r="C3" t="s">
        <v>166</v>
      </c>
      <c r="D3" t="s">
        <v>167</v>
      </c>
      <c r="E3" t="s">
        <v>166</v>
      </c>
      <c r="F3" t="s">
        <v>167</v>
      </c>
      <c r="G3" t="s">
        <v>166</v>
      </c>
      <c r="H3" t="s">
        <v>167</v>
      </c>
      <c r="I3" t="s">
        <v>166</v>
      </c>
      <c r="J3" t="s">
        <v>167</v>
      </c>
      <c r="K3" t="s">
        <v>166</v>
      </c>
      <c r="L3" t="s">
        <v>167</v>
      </c>
    </row>
    <row r="4" spans="1:12" ht="27.75" customHeight="1">
      <c r="A4" t="s">
        <v>172</v>
      </c>
      <c r="B4" t="s">
        <v>183</v>
      </c>
      <c r="C4" t="e">
        <f>C5+C7</f>
        <v>#REF!</v>
      </c>
      <c r="D4" t="e">
        <f>D5+C7</f>
        <v>#REF!</v>
      </c>
      <c r="E4" t="e">
        <f>E5+E7</f>
        <v>#REF!</v>
      </c>
      <c r="F4" t="e">
        <f>F5+E7</f>
        <v>#REF!</v>
      </c>
      <c r="G4" t="e">
        <f>G5+G7</f>
        <v>#REF!</v>
      </c>
      <c r="H4" t="e">
        <f>H5+G7</f>
        <v>#REF!</v>
      </c>
      <c r="I4" t="e">
        <f>I5+I7</f>
        <v>#REF!</v>
      </c>
      <c r="J4" t="e">
        <f>J5+I7</f>
        <v>#REF!</v>
      </c>
      <c r="K4" t="e">
        <f>K5+K7</f>
        <v>#REF!</v>
      </c>
      <c r="L4" t="e">
        <f>L5+K7</f>
        <v>#REF!</v>
      </c>
    </row>
    <row r="5" spans="1:12" ht="27.75" customHeight="1">
      <c r="A5" t="s">
        <v>111</v>
      </c>
      <c r="B5" t="s">
        <v>183</v>
      </c>
      <c r="C5">
        <f>Sheet1!C7</f>
        <v>2264.2262099999998</v>
      </c>
      <c r="D5">
        <f>Sheet1!D7</f>
        <v>2628.7666298099998</v>
      </c>
      <c r="E5">
        <f>Sheet1!F7</f>
        <v>2819.2446144417258</v>
      </c>
      <c r="F5">
        <f>Sheet1!G7</f>
        <v>2845.6667757767</v>
      </c>
      <c r="G5">
        <f>Sheet1!I7</f>
        <v>3270.1267491174881</v>
      </c>
      <c r="H5">
        <f>Sheet1!J7</f>
        <v>3300.7172706246679</v>
      </c>
      <c r="I5">
        <f>Sheet1!L7</f>
        <v>3803.7301861483397</v>
      </c>
      <c r="J5">
        <f>Sheet1!M7</f>
        <v>3839.2127438549473</v>
      </c>
      <c r="K5">
        <f>Sheet1!O7</f>
        <v>4436.7283708669083</v>
      </c>
      <c r="L5">
        <f>Sheet1!P7</f>
        <v>4478.0002626889254</v>
      </c>
    </row>
    <row r="6" spans="1:12" ht="27.75" customHeight="1">
      <c r="A6" t="s">
        <v>173</v>
      </c>
      <c r="B6" t="s">
        <v>184</v>
      </c>
      <c r="C6" t="e">
        <f>#REF!</f>
        <v>#REF!</v>
      </c>
      <c r="E6" t="e">
        <f>#REF!</f>
        <v>#REF!</v>
      </c>
      <c r="G6" t="e">
        <f>#REF!</f>
        <v>#REF!</v>
      </c>
      <c r="I6" t="e">
        <f>#REF!</f>
        <v>#REF!</v>
      </c>
      <c r="K6" t="e">
        <f>#REF!</f>
        <v>#REF!</v>
      </c>
    </row>
    <row r="7" spans="1:12" ht="27.75" customHeight="1">
      <c r="A7" t="s">
        <v>174</v>
      </c>
      <c r="B7" t="s">
        <v>183</v>
      </c>
      <c r="C7" t="e">
        <f>C6*C17*0.9</f>
        <v>#REF!</v>
      </c>
      <c r="E7" t="e">
        <f>E6*E17*0.9</f>
        <v>#REF!</v>
      </c>
      <c r="G7" t="e">
        <f>G6*G17*0.9</f>
        <v>#REF!</v>
      </c>
      <c r="I7" t="e">
        <f>I6*I17*0.9</f>
        <v>#REF!</v>
      </c>
      <c r="K7" t="e">
        <f>K6*K17*0.9</f>
        <v>#REF!</v>
      </c>
    </row>
    <row r="8" spans="1:12" ht="27.75" customHeight="1"/>
    <row r="9" spans="1:12" ht="27.75" customHeight="1">
      <c r="A9" t="s">
        <v>175</v>
      </c>
    </row>
    <row r="10" spans="1:12" ht="27.75" customHeight="1">
      <c r="A10" t="s">
        <v>176</v>
      </c>
    </row>
    <row r="11" spans="1:12" ht="27.75" customHeight="1">
      <c r="A11" t="s">
        <v>177</v>
      </c>
    </row>
    <row r="12" spans="1:12" ht="27.75" customHeight="1">
      <c r="A12" t="s">
        <v>178</v>
      </c>
    </row>
    <row r="13" spans="1:12" ht="27.75" customHeight="1">
      <c r="A13" t="s">
        <v>179</v>
      </c>
      <c r="C13" t="e">
        <f>#REF!</f>
        <v>#REF!</v>
      </c>
      <c r="E13" t="e">
        <f>#REF!</f>
        <v>#REF!</v>
      </c>
      <c r="G13" t="e">
        <f>#REF!</f>
        <v>#REF!</v>
      </c>
      <c r="I13" t="e">
        <f>#REF!</f>
        <v>#REF!</v>
      </c>
      <c r="K13" t="e">
        <f>#REF!</f>
        <v>#REF!</v>
      </c>
    </row>
    <row r="14" spans="1:12" ht="27.75" customHeight="1">
      <c r="A14" t="s">
        <v>180</v>
      </c>
    </row>
    <row r="15" spans="1:12" ht="27.75" customHeight="1">
      <c r="A15" t="s">
        <v>181</v>
      </c>
    </row>
    <row r="16" spans="1:12" ht="27.75" customHeight="1"/>
    <row r="17" spans="1:12" ht="27.75" customHeight="1">
      <c r="A17" t="s">
        <v>169</v>
      </c>
      <c r="B17" t="s">
        <v>185</v>
      </c>
      <c r="C17">
        <f>Sheet1!C15</f>
        <v>18.600000000000001</v>
      </c>
      <c r="D17">
        <f>Sheet1!D15</f>
        <v>18.600000000000001</v>
      </c>
      <c r="E17">
        <f>Sheet1!F15</f>
        <v>19.100000000000001</v>
      </c>
      <c r="F17">
        <f>Sheet1!G15</f>
        <v>19.100000000000001</v>
      </c>
      <c r="G17">
        <f>Sheet1!I15</f>
        <v>19.600000000000001</v>
      </c>
      <c r="H17">
        <f>Sheet1!J15</f>
        <v>19.600000000000001</v>
      </c>
      <c r="I17">
        <f>Sheet1!L15</f>
        <v>20.3</v>
      </c>
      <c r="J17">
        <f>Sheet1!M15</f>
        <v>20.3</v>
      </c>
      <c r="K17">
        <f>Sheet1!O15</f>
        <v>20.9</v>
      </c>
      <c r="L17">
        <f>Sheet1!P15</f>
        <v>20.9</v>
      </c>
    </row>
    <row r="19" spans="1:12" ht="18.75" customHeight="1">
      <c r="A19" t="s">
        <v>186</v>
      </c>
      <c r="C19">
        <v>100</v>
      </c>
    </row>
    <row r="20" spans="1:12" ht="18.75" customHeight="1">
      <c r="A20" t="s">
        <v>187</v>
      </c>
    </row>
    <row r="21" spans="1:12" ht="18.75" customHeight="1">
      <c r="A21" t="s">
        <v>188</v>
      </c>
      <c r="C21">
        <v>63.2</v>
      </c>
      <c r="D21">
        <v>63.4</v>
      </c>
      <c r="E21">
        <v>63.1</v>
      </c>
      <c r="F21">
        <v>63.3</v>
      </c>
      <c r="G21">
        <v>63</v>
      </c>
      <c r="H21">
        <v>63.2</v>
      </c>
      <c r="I21">
        <v>62.9</v>
      </c>
      <c r="J21">
        <v>63.1</v>
      </c>
      <c r="K21">
        <v>62.7</v>
      </c>
      <c r="L21">
        <v>62.9</v>
      </c>
    </row>
    <row r="22" spans="1:12" ht="18.75" customHeight="1">
      <c r="A22" t="s">
        <v>189</v>
      </c>
      <c r="C22">
        <v>36.799999999999997</v>
      </c>
      <c r="D22">
        <v>36.6</v>
      </c>
      <c r="E22">
        <v>36.9</v>
      </c>
      <c r="F22">
        <v>36.700000000000003</v>
      </c>
      <c r="G22">
        <v>37</v>
      </c>
      <c r="H22">
        <v>36.799999999999997</v>
      </c>
      <c r="I22">
        <v>37.1</v>
      </c>
      <c r="J22">
        <v>36.9</v>
      </c>
      <c r="K22">
        <v>37.299999999999997</v>
      </c>
      <c r="L22">
        <v>37.1</v>
      </c>
    </row>
    <row r="23" spans="1:12" ht="18.75" customHeight="1"/>
    <row r="24" spans="1:12" ht="18.75" customHeight="1">
      <c r="A24" t="s">
        <v>38</v>
      </c>
    </row>
    <row r="25" spans="1:12" ht="18.75" customHeight="1">
      <c r="A25" t="s">
        <v>190</v>
      </c>
    </row>
    <row r="26" spans="1:12" ht="18.75" customHeight="1">
      <c r="A26" t="s">
        <v>191</v>
      </c>
    </row>
    <row r="27" spans="1:12" ht="18.75" customHeight="1">
      <c r="A27" t="s">
        <v>192</v>
      </c>
    </row>
  </sheetData>
  <mergeCells count="5">
    <mergeCell ref="K2:L2"/>
    <mergeCell ref="C2:D2"/>
    <mergeCell ref="E2:F2"/>
    <mergeCell ref="G2:H2"/>
    <mergeCell ref="I2:J2"/>
  </mergeCells>
  <phoneticPr fontId="6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PL2</vt:lpstr>
      <vt:lpstr>BieunayKhongin</vt:lpstr>
      <vt:lpstr>Khongin</vt:lpstr>
      <vt:lpstr>PL I - Chi tieu NQ XVIII</vt:lpstr>
      <vt:lpstr>PL17CCTT(khongin)</vt:lpstr>
      <vt:lpstr>Sheet3</vt:lpstr>
      <vt:lpstr>Pl14</vt:lpstr>
      <vt:lpstr>Sheet1</vt:lpstr>
      <vt:lpstr>Sheet2</vt:lpstr>
      <vt:lpstr>PL II - Bieu TH 2015-2030</vt:lpstr>
      <vt:lpstr>BieunayKhongin!Print_Area</vt:lpstr>
      <vt:lpstr>Khongin!Print_Area</vt:lpstr>
      <vt:lpstr>'PL I - Chi tieu NQ XVIII'!Print_Area</vt:lpstr>
      <vt:lpstr>'PL II - Bieu TH 2015-2030'!Print_Area</vt:lpstr>
      <vt:lpstr>'PL17CCTT(khongin)'!Print_Area</vt:lpstr>
      <vt:lpstr>BieunayKhongin!Print_Titles</vt:lpstr>
      <vt:lpstr>Khongin!Print_Titles</vt:lpstr>
      <vt:lpstr>'PL I - Chi tieu NQ XVIII'!Print_Titles</vt:lpstr>
      <vt:lpstr>'PL II - Bieu TH 2015-2030'!Print_Titles</vt:lpstr>
      <vt:lpstr>'Pl14'!Print_Titles</vt:lpstr>
      <vt:lpstr>'PL17CCTT(khongin)'!Print_Titles</vt:lpstr>
      <vt:lpstr>'PL2'!Print_Titles</vt:lpstr>
    </vt:vector>
  </TitlesOfParts>
  <Company>MPI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Phu Ha</dc:creator>
  <cp:lastModifiedBy>Windows User</cp:lastModifiedBy>
  <cp:lastPrinted>2020-06-29T09:26:30Z</cp:lastPrinted>
  <dcterms:created xsi:type="dcterms:W3CDTF">2008-09-24T14:33:07Z</dcterms:created>
  <dcterms:modified xsi:type="dcterms:W3CDTF">2020-07-05T08:56:26Z</dcterms:modified>
</cp:coreProperties>
</file>